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45" windowWidth="18195" windowHeight="11520"/>
  </bookViews>
  <sheets>
    <sheet name="Predictions Tab" sheetId="1" r:id="rId1"/>
    <sheet name="Progress Chart Tab" sheetId="4" r:id="rId2"/>
  </sheets>
  <externalReferences>
    <externalReference r:id="rId3"/>
  </externalReferences>
  <definedNames>
    <definedName name="db_fifarank">[1]Settings!$B$17:$C$48</definedName>
    <definedName name="gmt_delta">[1]Settings!$G$16</definedName>
    <definedName name="lang">[1]Settings!$G$15</definedName>
    <definedName name="lang_list">[1]T!$1:$1</definedName>
    <definedName name="my_team">[1]Settings!$I$15</definedName>
    <definedName name="_xlnm.Print_Area" localSheetId="0">'Predictions Tab'!$A$1:$M$67</definedName>
    <definedName name="_xlnm.Print_Area" localSheetId="1">'Progress Chart Tab'!$A$5:$BT$54</definedName>
    <definedName name="T">[1]T!$1:$1048576</definedName>
    <definedName name="teams">[1]Settings!$I$17:$I$48</definedName>
  </definedNames>
  <calcPr calcId="145621"/>
</workbook>
</file>

<file path=xl/calcChain.xml><?xml version="1.0" encoding="utf-8"?>
<calcChain xmlns="http://schemas.openxmlformats.org/spreadsheetml/2006/main">
  <c r="A1" i="4" l="1"/>
  <c r="O3" i="4"/>
  <c r="A5" i="4"/>
  <c r="AY6" i="4"/>
  <c r="BE6" i="4"/>
  <c r="BK6" i="4"/>
  <c r="BQ6" i="4"/>
  <c r="R7" i="4"/>
  <c r="C7" i="4" s="1"/>
  <c r="Y7" i="4"/>
  <c r="J8" i="4"/>
  <c r="K8" i="4"/>
  <c r="L8" i="4"/>
  <c r="M8" i="4"/>
  <c r="N8" i="4"/>
  <c r="O8" i="4"/>
  <c r="P8" i="4"/>
  <c r="R8" i="4"/>
  <c r="B8" i="4" s="1"/>
  <c r="Y8" i="4"/>
  <c r="AB8" i="4"/>
  <c r="R9" i="4"/>
  <c r="B9" i="4" s="1"/>
  <c r="Y9" i="4"/>
  <c r="AB9" i="4"/>
  <c r="E40" i="4" s="1"/>
  <c r="S40" i="4" s="1"/>
  <c r="R10" i="4"/>
  <c r="B10" i="4" s="1"/>
  <c r="Y10" i="4"/>
  <c r="AB10" i="4"/>
  <c r="AM10" i="4" s="1"/>
  <c r="R11" i="4"/>
  <c r="B11" i="4" s="1"/>
  <c r="Y11" i="4"/>
  <c r="AB11" i="4"/>
  <c r="H8" i="4" s="1"/>
  <c r="R12" i="4"/>
  <c r="B12" i="4" s="1"/>
  <c r="Y12" i="4"/>
  <c r="R13" i="4"/>
  <c r="C13" i="4" s="1"/>
  <c r="Y13" i="4"/>
  <c r="J14" i="4"/>
  <c r="K14" i="4"/>
  <c r="L14" i="4"/>
  <c r="M14" i="4"/>
  <c r="N14" i="4"/>
  <c r="O14" i="4"/>
  <c r="P14" i="4"/>
  <c r="R14" i="4"/>
  <c r="B14" i="4" s="1"/>
  <c r="Y14" i="4"/>
  <c r="AB14" i="4"/>
  <c r="E9" i="4" s="1"/>
  <c r="S9" i="4" s="1"/>
  <c r="R15" i="4"/>
  <c r="B15" i="4" s="1"/>
  <c r="Y15" i="4"/>
  <c r="AB15" i="4"/>
  <c r="H26" i="4" s="1"/>
  <c r="R16" i="4"/>
  <c r="D16" i="4" s="1"/>
  <c r="Y16" i="4"/>
  <c r="AB16" i="4"/>
  <c r="AM16" i="4" s="1"/>
  <c r="R17" i="4"/>
  <c r="D17" i="4" s="1"/>
  <c r="Y17" i="4"/>
  <c r="AB17" i="4"/>
  <c r="AM17" i="4" s="1"/>
  <c r="R18" i="4"/>
  <c r="C18" i="4" s="1"/>
  <c r="Y18" i="4"/>
  <c r="R19" i="4"/>
  <c r="D19" i="4" s="1"/>
  <c r="Y19" i="4"/>
  <c r="J20" i="4"/>
  <c r="K20" i="4"/>
  <c r="L20" i="4"/>
  <c r="M20" i="4"/>
  <c r="N20" i="4"/>
  <c r="O20" i="4"/>
  <c r="P20" i="4"/>
  <c r="R20" i="4"/>
  <c r="C20" i="4" s="1"/>
  <c r="Y20" i="4"/>
  <c r="AB20" i="4"/>
  <c r="E11" i="4" s="1"/>
  <c r="S11" i="4" s="1"/>
  <c r="R21" i="4"/>
  <c r="B21" i="4" s="1"/>
  <c r="Y21" i="4"/>
  <c r="AB21" i="4"/>
  <c r="H11" i="4" s="1"/>
  <c r="R22" i="4"/>
  <c r="C22" i="4" s="1"/>
  <c r="Y22" i="4"/>
  <c r="AB22" i="4"/>
  <c r="AM22" i="4" s="1"/>
  <c r="E23" i="4"/>
  <c r="S23" i="4" s="1"/>
  <c r="H23" i="4"/>
  <c r="R23" i="4"/>
  <c r="D23" i="4" s="1"/>
  <c r="Y23" i="4"/>
  <c r="AB23" i="4"/>
  <c r="AM23" i="4" s="1"/>
  <c r="H24" i="4"/>
  <c r="R24" i="4"/>
  <c r="C24" i="4" s="1"/>
  <c r="Y24" i="4"/>
  <c r="H25" i="4"/>
  <c r="R25" i="4"/>
  <c r="C25" i="4" s="1"/>
  <c r="Y25" i="4"/>
  <c r="E26" i="4"/>
  <c r="S26" i="4" s="1"/>
  <c r="J26" i="4"/>
  <c r="K26" i="4"/>
  <c r="L26" i="4"/>
  <c r="M26" i="4"/>
  <c r="N26" i="4"/>
  <c r="O26" i="4"/>
  <c r="P26" i="4"/>
  <c r="R26" i="4"/>
  <c r="B26" i="4" s="1"/>
  <c r="Y26" i="4"/>
  <c r="AB26" i="4"/>
  <c r="E13" i="4" s="1"/>
  <c r="S13" i="4" s="1"/>
  <c r="E27" i="4"/>
  <c r="S27" i="4" s="1"/>
  <c r="R27" i="4"/>
  <c r="B27" i="4" s="1"/>
  <c r="Y27" i="4"/>
  <c r="AB27" i="4"/>
  <c r="H30" i="4" s="1"/>
  <c r="R28" i="4"/>
  <c r="D28" i="4" s="1"/>
  <c r="Y28" i="4"/>
  <c r="AB28" i="4"/>
  <c r="AM28" i="4" s="1"/>
  <c r="R29" i="4"/>
  <c r="D29" i="4" s="1"/>
  <c r="Y29" i="4"/>
  <c r="AB29" i="4"/>
  <c r="E30" i="4" s="1"/>
  <c r="S30" i="4" s="1"/>
  <c r="R30" i="4"/>
  <c r="C30" i="4" s="1"/>
  <c r="Y30" i="4"/>
  <c r="R31" i="4"/>
  <c r="D31" i="4" s="1"/>
  <c r="Y31" i="4"/>
  <c r="BQ31" i="4"/>
  <c r="J32" i="4"/>
  <c r="K32" i="4"/>
  <c r="L32" i="4"/>
  <c r="M32" i="4"/>
  <c r="N32" i="4"/>
  <c r="O32" i="4"/>
  <c r="P32" i="4"/>
  <c r="R32" i="4"/>
  <c r="B32" i="4" s="1"/>
  <c r="Y32" i="4"/>
  <c r="AB32" i="4"/>
  <c r="R33" i="4"/>
  <c r="B33" i="4" s="1"/>
  <c r="Y33" i="4"/>
  <c r="AB33" i="4"/>
  <c r="R34" i="4"/>
  <c r="B34" i="4" s="1"/>
  <c r="Y34" i="4"/>
  <c r="AB34" i="4"/>
  <c r="E16" i="4" s="1"/>
  <c r="S16" i="4" s="1"/>
  <c r="R35" i="4"/>
  <c r="B35" i="4" s="1"/>
  <c r="Y35" i="4"/>
  <c r="AB35" i="4"/>
  <c r="H16" i="4" s="1"/>
  <c r="R36" i="4"/>
  <c r="B36" i="4" s="1"/>
  <c r="Y36" i="4"/>
  <c r="R37" i="4"/>
  <c r="C37" i="4" s="1"/>
  <c r="Y37" i="4"/>
  <c r="J38" i="4"/>
  <c r="K38" i="4"/>
  <c r="L38" i="4"/>
  <c r="M38" i="4"/>
  <c r="N38" i="4"/>
  <c r="O38" i="4"/>
  <c r="P38" i="4"/>
  <c r="R38" i="4"/>
  <c r="B38" i="4" s="1"/>
  <c r="Y38" i="4"/>
  <c r="AB38" i="4"/>
  <c r="E17" i="4" s="1"/>
  <c r="S17" i="4" s="1"/>
  <c r="E39" i="4"/>
  <c r="S39" i="4" s="1"/>
  <c r="H39" i="4"/>
  <c r="R39" i="4"/>
  <c r="B39" i="4" s="1"/>
  <c r="Y39" i="4"/>
  <c r="AB39" i="4"/>
  <c r="H17" i="4" s="1"/>
  <c r="H40" i="4"/>
  <c r="R40" i="4"/>
  <c r="B40" i="4" s="1"/>
  <c r="Y40" i="4"/>
  <c r="AB40" i="4"/>
  <c r="E41" i="4"/>
  <c r="S41" i="4" s="1"/>
  <c r="R41" i="4"/>
  <c r="B41" i="4" s="1"/>
  <c r="Y41" i="4"/>
  <c r="AB41" i="4"/>
  <c r="H18" i="4" s="1"/>
  <c r="BJ41" i="4"/>
  <c r="E42" i="4"/>
  <c r="S42" i="4" s="1"/>
  <c r="R42" i="4"/>
  <c r="B42" i="4" s="1"/>
  <c r="Y42" i="4"/>
  <c r="E43" i="4"/>
  <c r="S43" i="4" s="1"/>
  <c r="H43" i="4"/>
  <c r="R43" i="4"/>
  <c r="D43" i="4" s="1"/>
  <c r="Y43" i="4"/>
  <c r="H44" i="4"/>
  <c r="J44" i="4"/>
  <c r="K44" i="4"/>
  <c r="L44" i="4"/>
  <c r="M44" i="4"/>
  <c r="N44" i="4"/>
  <c r="O44" i="4"/>
  <c r="P44" i="4"/>
  <c r="R44" i="4"/>
  <c r="B44" i="4" s="1"/>
  <c r="Y44" i="4"/>
  <c r="AB44" i="4"/>
  <c r="AM44" i="4" s="1"/>
  <c r="R45" i="4"/>
  <c r="B45" i="4" s="1"/>
  <c r="Y45" i="4"/>
  <c r="AB45" i="4"/>
  <c r="AM45" i="4" s="1"/>
  <c r="E46" i="4"/>
  <c r="S46" i="4" s="1"/>
  <c r="R46" i="4"/>
  <c r="B46" i="4" s="1"/>
  <c r="Y46" i="4"/>
  <c r="AB46" i="4"/>
  <c r="AM46" i="4" s="1"/>
  <c r="H47" i="4"/>
  <c r="R47" i="4"/>
  <c r="B47" i="4" s="1"/>
  <c r="Y47" i="4"/>
  <c r="AB47" i="4"/>
  <c r="E51" i="4" s="1"/>
  <c r="S51" i="4" s="1"/>
  <c r="E48" i="4"/>
  <c r="S48" i="4" s="1"/>
  <c r="H48" i="4"/>
  <c r="R48" i="4"/>
  <c r="C48" i="4" s="1"/>
  <c r="Y48" i="4"/>
  <c r="H49" i="4"/>
  <c r="R49" i="4"/>
  <c r="B49" i="4" s="1"/>
  <c r="Y49" i="4"/>
  <c r="J50" i="4"/>
  <c r="K50" i="4"/>
  <c r="L50" i="4"/>
  <c r="M50" i="4"/>
  <c r="N50" i="4"/>
  <c r="O50" i="4"/>
  <c r="P50" i="4"/>
  <c r="R50" i="4"/>
  <c r="B50" i="4" s="1"/>
  <c r="Y50" i="4"/>
  <c r="AB50" i="4"/>
  <c r="H53" i="4" s="1"/>
  <c r="R51" i="4"/>
  <c r="B51" i="4" s="1"/>
  <c r="Y51" i="4"/>
  <c r="AB51" i="4"/>
  <c r="R52" i="4"/>
  <c r="B52" i="4" s="1"/>
  <c r="Y52" i="4"/>
  <c r="AB52" i="4"/>
  <c r="E22" i="4" s="1"/>
  <c r="S22" i="4" s="1"/>
  <c r="R53" i="4"/>
  <c r="C53" i="4" s="1"/>
  <c r="Y53" i="4"/>
  <c r="AB53" i="4"/>
  <c r="H22" i="4" s="1"/>
  <c r="R54" i="4"/>
  <c r="D54" i="4" s="1"/>
  <c r="Y54" i="4"/>
  <c r="R58" i="4"/>
  <c r="AY9" i="4" s="1"/>
  <c r="R59" i="4"/>
  <c r="AY13" i="4" s="1"/>
  <c r="R60" i="4"/>
  <c r="AY25" i="4" s="1"/>
  <c r="R61" i="4"/>
  <c r="AY29" i="4" s="1"/>
  <c r="R62" i="4"/>
  <c r="AY17" i="4" s="1"/>
  <c r="R63" i="4"/>
  <c r="AY21" i="4" s="1"/>
  <c r="R64" i="4"/>
  <c r="AY33" i="4" s="1"/>
  <c r="R65" i="4"/>
  <c r="AY37" i="4" s="1"/>
  <c r="R69" i="4"/>
  <c r="BE11" i="4" s="1"/>
  <c r="R70" i="4"/>
  <c r="BE19" i="4" s="1"/>
  <c r="R71" i="4"/>
  <c r="BE27" i="4" s="1"/>
  <c r="R72" i="4"/>
  <c r="BE35" i="4" s="1"/>
  <c r="R76" i="4"/>
  <c r="BK15" i="4" s="1"/>
  <c r="R77" i="4"/>
  <c r="BK31" i="4" s="1"/>
  <c r="R81" i="4"/>
  <c r="BQ34" i="4" s="1"/>
  <c r="R85" i="4"/>
  <c r="BQ22" i="4" s="1"/>
  <c r="E47" i="4" l="1"/>
  <c r="S47" i="4" s="1"/>
  <c r="T47" i="4" s="1"/>
  <c r="E45" i="4"/>
  <c r="S45" i="4" s="1"/>
  <c r="E44" i="4"/>
  <c r="S44" i="4" s="1"/>
  <c r="H42" i="4"/>
  <c r="H46" i="4"/>
  <c r="T46" i="4" s="1"/>
  <c r="H41" i="4"/>
  <c r="T41" i="4" s="1"/>
  <c r="H28" i="4"/>
  <c r="E25" i="4"/>
  <c r="S25" i="4" s="1"/>
  <c r="T25" i="4" s="1"/>
  <c r="E24" i="4"/>
  <c r="S24" i="4" s="1"/>
  <c r="T24" i="4" s="1"/>
  <c r="T43" i="4"/>
  <c r="T11" i="4"/>
  <c r="T42" i="4"/>
  <c r="X40" i="4"/>
  <c r="T16" i="4"/>
  <c r="B19" i="4"/>
  <c r="T39" i="4"/>
  <c r="T23" i="4"/>
  <c r="H45" i="4"/>
  <c r="T45" i="4" s="1"/>
  <c r="D44" i="4"/>
  <c r="D35" i="4"/>
  <c r="E28" i="4"/>
  <c r="S28" i="4" s="1"/>
  <c r="X42" i="4"/>
  <c r="X39" i="4"/>
  <c r="X26" i="4"/>
  <c r="D21" i="4"/>
  <c r="T48" i="4"/>
  <c r="H54" i="4"/>
  <c r="C50" i="4"/>
  <c r="AM29" i="4"/>
  <c r="B28" i="4"/>
  <c r="D12" i="4"/>
  <c r="E49" i="4"/>
  <c r="S49" i="4" s="1"/>
  <c r="T49" i="4" s="1"/>
  <c r="X45" i="4"/>
  <c r="H27" i="4"/>
  <c r="X27" i="4" s="1"/>
  <c r="D52" i="4"/>
  <c r="X43" i="4"/>
  <c r="D33" i="4"/>
  <c r="D50" i="4"/>
  <c r="T40" i="4"/>
  <c r="D39" i="4"/>
  <c r="C32" i="4"/>
  <c r="T30" i="4"/>
  <c r="B13" i="4"/>
  <c r="X11" i="4"/>
  <c r="D15" i="4"/>
  <c r="C15" i="4"/>
  <c r="C9" i="4"/>
  <c r="AM52" i="4"/>
  <c r="D51" i="4"/>
  <c r="D42" i="4"/>
  <c r="X41" i="4"/>
  <c r="C33" i="4"/>
  <c r="T26" i="4"/>
  <c r="AM21" i="4"/>
  <c r="AM14" i="4"/>
  <c r="C54" i="4"/>
  <c r="X16" i="4"/>
  <c r="E32" i="4"/>
  <c r="S32" i="4" s="1"/>
  <c r="C27" i="4"/>
  <c r="AM53" i="4"/>
  <c r="E53" i="4"/>
  <c r="E52" i="4"/>
  <c r="S52" i="4" s="1"/>
  <c r="E50" i="4"/>
  <c r="S50" i="4" s="1"/>
  <c r="D49" i="4"/>
  <c r="B48" i="4"/>
  <c r="D47" i="4"/>
  <c r="C43" i="4"/>
  <c r="AM41" i="4"/>
  <c r="D40" i="4"/>
  <c r="E34" i="4"/>
  <c r="S34" i="4" s="1"/>
  <c r="D32" i="4"/>
  <c r="B30" i="4"/>
  <c r="AM26" i="4"/>
  <c r="D25" i="4"/>
  <c r="X24" i="4"/>
  <c r="X23" i="4"/>
  <c r="AM20" i="4"/>
  <c r="C47" i="4"/>
  <c r="C40" i="4"/>
  <c r="B25" i="4"/>
  <c r="D14" i="4"/>
  <c r="C51" i="4"/>
  <c r="X49" i="4"/>
  <c r="X48" i="4"/>
  <c r="C44" i="4"/>
  <c r="C42" i="4"/>
  <c r="D41" i="4"/>
  <c r="AM39" i="4"/>
  <c r="X17" i="4"/>
  <c r="B37" i="4"/>
  <c r="AM35" i="4"/>
  <c r="AM34" i="4"/>
  <c r="X30" i="4"/>
  <c r="E29" i="4"/>
  <c r="S29" i="4" s="1"/>
  <c r="D27" i="4"/>
  <c r="X25" i="4"/>
  <c r="D22" i="4"/>
  <c r="B16" i="4"/>
  <c r="AM11" i="4"/>
  <c r="B53" i="4"/>
  <c r="B54" i="4"/>
  <c r="H21" i="4"/>
  <c r="H38" i="4"/>
  <c r="AM51" i="4"/>
  <c r="C49" i="4"/>
  <c r="E20" i="4"/>
  <c r="S20" i="4" s="1"/>
  <c r="H35" i="4"/>
  <c r="D46" i="4"/>
  <c r="H19" i="4"/>
  <c r="D45" i="4"/>
  <c r="E19" i="4"/>
  <c r="E35" i="4"/>
  <c r="S35" i="4" s="1"/>
  <c r="H51" i="4"/>
  <c r="X51" i="4" s="1"/>
  <c r="B43" i="4"/>
  <c r="H36" i="4"/>
  <c r="E54" i="4"/>
  <c r="D53" i="4"/>
  <c r="X22" i="4"/>
  <c r="C52" i="4"/>
  <c r="H20" i="4"/>
  <c r="E36" i="4"/>
  <c r="AM47" i="4"/>
  <c r="C46" i="4"/>
  <c r="C45" i="4"/>
  <c r="H37" i="4"/>
  <c r="H52" i="4"/>
  <c r="D48" i="4"/>
  <c r="T44" i="4"/>
  <c r="C36" i="4"/>
  <c r="D36" i="4"/>
  <c r="E21" i="4"/>
  <c r="E37" i="4"/>
  <c r="S37" i="4" s="1"/>
  <c r="AM50" i="4"/>
  <c r="E18" i="4"/>
  <c r="H33" i="4"/>
  <c r="AM40" i="4"/>
  <c r="H50" i="4"/>
  <c r="E38" i="4"/>
  <c r="C41" i="4"/>
  <c r="C39" i="4"/>
  <c r="D38" i="4"/>
  <c r="C35" i="4"/>
  <c r="D34" i="4"/>
  <c r="AM33" i="4"/>
  <c r="H31" i="4"/>
  <c r="C29" i="4"/>
  <c r="C38" i="4"/>
  <c r="D37" i="4"/>
  <c r="C34" i="4"/>
  <c r="E33" i="4"/>
  <c r="S33" i="4" s="1"/>
  <c r="AM32" i="4"/>
  <c r="E31" i="4"/>
  <c r="S31" i="4" s="1"/>
  <c r="D30" i="4"/>
  <c r="H14" i="4"/>
  <c r="B29" i="4"/>
  <c r="X28" i="4"/>
  <c r="AM38" i="4"/>
  <c r="H34" i="4"/>
  <c r="X34" i="4" s="1"/>
  <c r="C31" i="4"/>
  <c r="H29" i="4"/>
  <c r="C28" i="4"/>
  <c r="H15" i="4"/>
  <c r="H32" i="4"/>
  <c r="X32" i="4" s="1"/>
  <c r="E15" i="4"/>
  <c r="S15" i="4" s="1"/>
  <c r="B31" i="4"/>
  <c r="E14" i="4"/>
  <c r="S14" i="4" s="1"/>
  <c r="T14" i="4" s="1"/>
  <c r="H13" i="4"/>
  <c r="X13" i="4" s="1"/>
  <c r="AM27" i="4"/>
  <c r="D26" i="4"/>
  <c r="D24" i="4"/>
  <c r="H12" i="4"/>
  <c r="B23" i="4"/>
  <c r="B22" i="4"/>
  <c r="T17" i="4"/>
  <c r="C26" i="4"/>
  <c r="B24" i="4"/>
  <c r="T22" i="4"/>
  <c r="C23" i="4"/>
  <c r="E12" i="4"/>
  <c r="S12" i="4" s="1"/>
  <c r="T12" i="4" s="1"/>
  <c r="B20" i="4"/>
  <c r="C19" i="4"/>
  <c r="B18" i="4"/>
  <c r="C16" i="4"/>
  <c r="E10" i="4"/>
  <c r="S10" i="4" s="1"/>
  <c r="H9" i="4"/>
  <c r="T9" i="4" s="1"/>
  <c r="AM15" i="4"/>
  <c r="C21" i="4"/>
  <c r="D20" i="4"/>
  <c r="D18" i="4"/>
  <c r="C17" i="4"/>
  <c r="H10" i="4"/>
  <c r="B17" i="4"/>
  <c r="C14" i="4"/>
  <c r="D13" i="4"/>
  <c r="C12" i="4"/>
  <c r="D11" i="4"/>
  <c r="D10" i="4"/>
  <c r="E8" i="4"/>
  <c r="H7" i="4"/>
  <c r="B7" i="4"/>
  <c r="C11" i="4"/>
  <c r="C10" i="4"/>
  <c r="D9" i="4"/>
  <c r="D8" i="4"/>
  <c r="E7" i="4"/>
  <c r="S7" i="4" s="1"/>
  <c r="C8" i="4"/>
  <c r="D7" i="4"/>
  <c r="AM9" i="4"/>
  <c r="AM8" i="4"/>
  <c r="T33" i="4" l="1"/>
  <c r="X47" i="4"/>
  <c r="T7" i="4"/>
  <c r="T28" i="4"/>
  <c r="X46" i="4"/>
  <c r="X44" i="4"/>
  <c r="T15" i="4"/>
  <c r="T35" i="4"/>
  <c r="X9" i="4"/>
  <c r="T20" i="4"/>
  <c r="T29" i="4"/>
  <c r="T52" i="4"/>
  <c r="T27" i="4"/>
  <c r="X8" i="4"/>
  <c r="S8" i="4"/>
  <c r="T10" i="4"/>
  <c r="X29" i="4"/>
  <c r="T31" i="4"/>
  <c r="T37" i="4"/>
  <c r="X52" i="4"/>
  <c r="X19" i="4"/>
  <c r="S19" i="4"/>
  <c r="T19" i="4" s="1"/>
  <c r="T50" i="4"/>
  <c r="X21" i="4"/>
  <c r="S21" i="4"/>
  <c r="T21" i="4" s="1"/>
  <c r="X36" i="4"/>
  <c r="S36" i="4"/>
  <c r="T36" i="4" s="1"/>
  <c r="T34" i="4"/>
  <c r="T32" i="4"/>
  <c r="T51" i="4"/>
  <c r="X38" i="4"/>
  <c r="S38" i="4"/>
  <c r="T38" i="4" s="1"/>
  <c r="X18" i="4"/>
  <c r="S18" i="4"/>
  <c r="T18" i="4" s="1"/>
  <c r="X54" i="4"/>
  <c r="S54" i="4"/>
  <c r="T54" i="4" s="1"/>
  <c r="X53" i="4"/>
  <c r="S53" i="4"/>
  <c r="T53" i="4" s="1"/>
  <c r="T13" i="4"/>
  <c r="X12" i="4"/>
  <c r="X37" i="4"/>
  <c r="AG40" i="4"/>
  <c r="X14" i="4"/>
  <c r="X33" i="4"/>
  <c r="X50" i="4"/>
  <c r="X31" i="4"/>
  <c r="AG8" i="4"/>
  <c r="X35" i="4"/>
  <c r="AG10" i="4"/>
  <c r="AG9" i="4"/>
  <c r="AF15" i="4"/>
  <c r="AG20" i="4"/>
  <c r="X10" i="4"/>
  <c r="AF28" i="4"/>
  <c r="AF32" i="4"/>
  <c r="AF44" i="4"/>
  <c r="AF23" i="4"/>
  <c r="AF22" i="4"/>
  <c r="AG23" i="4"/>
  <c r="AG28" i="4"/>
  <c r="AG29" i="4"/>
  <c r="X20" i="4"/>
  <c r="AF8" i="4"/>
  <c r="AF9" i="4"/>
  <c r="X7" i="4"/>
  <c r="AF10" i="4"/>
  <c r="AF11" i="4"/>
  <c r="AF14" i="4"/>
  <c r="AG14" i="4"/>
  <c r="AF20" i="4"/>
  <c r="AF21" i="4"/>
  <c r="AG15" i="4"/>
  <c r="AF17" i="4"/>
  <c r="AG22" i="4"/>
  <c r="AF26" i="4"/>
  <c r="AG21" i="4"/>
  <c r="AG26" i="4"/>
  <c r="AG27" i="4"/>
  <c r="AG32" i="4"/>
  <c r="AF33" i="4"/>
  <c r="AF29" i="4"/>
  <c r="AF34" i="4"/>
  <c r="AF38" i="4"/>
  <c r="AF35" i="4"/>
  <c r="AF39" i="4"/>
  <c r="AF41" i="4"/>
  <c r="AG39" i="4"/>
  <c r="AG50" i="4"/>
  <c r="AG35" i="4"/>
  <c r="AF47" i="4"/>
  <c r="AF53" i="4"/>
  <c r="AG41" i="4"/>
  <c r="AG47" i="4"/>
  <c r="AF52" i="4"/>
  <c r="AG44" i="4"/>
  <c r="AG45" i="4"/>
  <c r="AG46" i="4"/>
  <c r="AG51" i="4"/>
  <c r="AG52" i="4"/>
  <c r="AF16" i="4"/>
  <c r="AG16" i="4"/>
  <c r="AG33" i="4"/>
  <c r="AF27" i="4"/>
  <c r="AG38" i="4"/>
  <c r="AF40" i="4"/>
  <c r="AF46" i="4"/>
  <c r="AG53" i="4"/>
  <c r="AG11" i="4"/>
  <c r="AG17" i="4"/>
  <c r="X15" i="4"/>
  <c r="AG34" i="4"/>
  <c r="AF45" i="4"/>
  <c r="AF51" i="4"/>
  <c r="AF50" i="4"/>
  <c r="T8" i="4" l="1"/>
  <c r="AE21" i="4" s="1"/>
  <c r="AG42" i="4"/>
  <c r="AG12" i="4"/>
  <c r="AI50" i="4"/>
  <c r="AF54" i="4"/>
  <c r="AI52" i="4"/>
  <c r="AI39" i="4"/>
  <c r="AI34" i="4"/>
  <c r="AI29" i="4"/>
  <c r="AG36" i="4"/>
  <c r="AI21" i="4"/>
  <c r="AI32" i="4"/>
  <c r="AF36" i="4"/>
  <c r="AG24" i="4"/>
  <c r="AI45" i="4"/>
  <c r="AI46" i="4"/>
  <c r="AI51" i="4"/>
  <c r="AI40" i="4"/>
  <c r="AG48" i="4"/>
  <c r="AI53" i="4"/>
  <c r="AI38" i="4"/>
  <c r="AF42" i="4"/>
  <c r="AG30" i="4"/>
  <c r="AI26" i="4"/>
  <c r="AF30" i="4"/>
  <c r="AG18" i="4"/>
  <c r="AH11" i="4"/>
  <c r="AI11" i="4"/>
  <c r="AI9" i="4"/>
  <c r="AH9" i="4"/>
  <c r="AI23" i="4"/>
  <c r="AI44" i="4"/>
  <c r="AF48" i="4"/>
  <c r="AI28" i="4"/>
  <c r="AI15" i="4"/>
  <c r="AI27" i="4"/>
  <c r="AI16" i="4"/>
  <c r="AI41" i="4"/>
  <c r="AI35" i="4"/>
  <c r="AI33" i="4"/>
  <c r="AI17" i="4"/>
  <c r="AI47" i="4"/>
  <c r="AG54" i="4"/>
  <c r="AI20" i="4"/>
  <c r="AF24" i="4"/>
  <c r="AI14" i="4"/>
  <c r="AF18" i="4"/>
  <c r="AH10" i="4"/>
  <c r="AI10" i="4"/>
  <c r="AI8" i="4"/>
  <c r="AH8" i="4"/>
  <c r="AF12" i="4"/>
  <c r="AI22" i="4"/>
  <c r="AC9" i="4" l="1"/>
  <c r="AD11" i="4"/>
  <c r="AC11" i="4"/>
  <c r="AC20" i="4"/>
  <c r="AC10" i="4"/>
  <c r="AC8" i="4"/>
  <c r="AD15" i="4"/>
  <c r="AE28" i="4"/>
  <c r="AE8" i="4"/>
  <c r="AD28" i="4"/>
  <c r="AD20" i="4"/>
  <c r="AE17" i="4"/>
  <c r="AD34" i="4"/>
  <c r="AE35" i="4"/>
  <c r="AC46" i="4"/>
  <c r="AC51" i="4"/>
  <c r="AE32" i="4"/>
  <c r="AD40" i="4"/>
  <c r="AE10" i="4"/>
  <c r="AD16" i="4"/>
  <c r="AE11" i="4"/>
  <c r="AD8" i="4"/>
  <c r="AE9" i="4"/>
  <c r="AE38" i="4"/>
  <c r="AC53" i="4"/>
  <c r="AC17" i="4"/>
  <c r="AD21" i="4"/>
  <c r="AD44" i="4"/>
  <c r="AD14" i="4"/>
  <c r="AC22" i="4"/>
  <c r="AC21" i="4"/>
  <c r="AK21" i="4" s="1"/>
  <c r="AH21" i="4" s="1"/>
  <c r="AE34" i="4"/>
  <c r="AE39" i="4"/>
  <c r="AC41" i="4"/>
  <c r="AD47" i="4"/>
  <c r="AD41" i="4"/>
  <c r="AC52" i="4"/>
  <c r="AC23" i="4"/>
  <c r="AD45" i="4"/>
  <c r="AD27" i="4"/>
  <c r="AC16" i="4"/>
  <c r="AE15" i="4"/>
  <c r="AE16" i="4"/>
  <c r="AD22" i="4"/>
  <c r="AD17" i="4"/>
  <c r="AE50" i="4"/>
  <c r="AD23" i="4"/>
  <c r="AE23" i="4"/>
  <c r="AC26" i="4"/>
  <c r="AD35" i="4"/>
  <c r="AE41" i="4"/>
  <c r="AC44" i="4"/>
  <c r="AD52" i="4"/>
  <c r="AE44" i="4"/>
  <c r="AD53" i="4"/>
  <c r="AE27" i="4"/>
  <c r="AC29" i="4"/>
  <c r="AC15" i="4"/>
  <c r="AK15" i="4" s="1"/>
  <c r="AH15" i="4" s="1"/>
  <c r="AC33" i="4"/>
  <c r="AE51" i="4"/>
  <c r="AD10" i="4"/>
  <c r="AE20" i="4"/>
  <c r="AE14" i="4"/>
  <c r="AD33" i="4"/>
  <c r="AE46" i="4"/>
  <c r="AC38" i="4"/>
  <c r="AD26" i="4"/>
  <c r="AE26" i="4"/>
  <c r="AE29" i="4"/>
  <c r="AD39" i="4"/>
  <c r="AD29" i="4"/>
  <c r="AC45" i="4"/>
  <c r="AK45" i="4" s="1"/>
  <c r="AH45" i="4" s="1"/>
  <c r="AE53" i="4"/>
  <c r="AE52" i="4"/>
  <c r="AC39" i="4"/>
  <c r="AC28" i="4"/>
  <c r="AK28" i="4" s="1"/>
  <c r="AH28" i="4" s="1"/>
  <c r="AC27" i="4"/>
  <c r="AC40" i="4"/>
  <c r="AK40" i="4" s="1"/>
  <c r="AH40" i="4" s="1"/>
  <c r="AC14" i="4"/>
  <c r="AD32" i="4"/>
  <c r="AD51" i="4"/>
  <c r="AC32" i="4"/>
  <c r="AC50" i="4"/>
  <c r="AC35" i="4"/>
  <c r="AK35" i="4" s="1"/>
  <c r="AH35" i="4" s="1"/>
  <c r="AD38" i="4"/>
  <c r="AC47" i="4"/>
  <c r="AK47" i="4" s="1"/>
  <c r="AH47" i="4" s="1"/>
  <c r="AE33" i="4"/>
  <c r="AD50" i="4"/>
  <c r="AE22" i="4"/>
  <c r="AD46" i="4"/>
  <c r="AC34" i="4"/>
  <c r="AK34" i="4" s="1"/>
  <c r="AH34" i="4" s="1"/>
  <c r="AE45" i="4"/>
  <c r="AE40" i="4"/>
  <c r="AE47" i="4"/>
  <c r="AD9" i="4"/>
  <c r="U40" i="4"/>
  <c r="U39" i="4"/>
  <c r="U24" i="4"/>
  <c r="W24" i="4" s="1"/>
  <c r="U23" i="4"/>
  <c r="W23" i="4" s="1"/>
  <c r="U7" i="4"/>
  <c r="W7" i="4" s="1"/>
  <c r="U8" i="4"/>
  <c r="W8" i="4" s="1"/>
  <c r="AH13" i="4"/>
  <c r="AH12" i="4" s="1"/>
  <c r="AI43" i="4"/>
  <c r="AI42" i="4" s="1"/>
  <c r="AI13" i="4"/>
  <c r="AI12" i="4" s="1"/>
  <c r="AJ8" i="4" s="1"/>
  <c r="AI49" i="4"/>
  <c r="AI48" i="4" s="1"/>
  <c r="AI55" i="4"/>
  <c r="AI54" i="4" s="1"/>
  <c r="AI25" i="4"/>
  <c r="AI24" i="4" s="1"/>
  <c r="AI19" i="4"/>
  <c r="AI18" i="4" s="1"/>
  <c r="AI31" i="4"/>
  <c r="AI30" i="4" s="1"/>
  <c r="AI37" i="4"/>
  <c r="AI36" i="4" s="1"/>
  <c r="AE18" i="4" l="1"/>
  <c r="U36" i="4"/>
  <c r="W36" i="4" s="1"/>
  <c r="AK41" i="4"/>
  <c r="AH41" i="4" s="1"/>
  <c r="U18" i="4" s="1"/>
  <c r="AD42" i="4"/>
  <c r="AK27" i="4"/>
  <c r="AH27" i="4" s="1"/>
  <c r="U46" i="4" s="1"/>
  <c r="AK16" i="4"/>
  <c r="AH16" i="4" s="1"/>
  <c r="U42" i="4" s="1"/>
  <c r="AK39" i="4"/>
  <c r="AH39" i="4" s="1"/>
  <c r="AK33" i="4"/>
  <c r="AH33" i="4" s="1"/>
  <c r="U32" i="4" s="1"/>
  <c r="AD36" i="4"/>
  <c r="AD54" i="4"/>
  <c r="AE30" i="4"/>
  <c r="AC48" i="4"/>
  <c r="AK44" i="4"/>
  <c r="AD48" i="4"/>
  <c r="AE42" i="4"/>
  <c r="AK51" i="4"/>
  <c r="AH51" i="4" s="1"/>
  <c r="AC24" i="4"/>
  <c r="AK50" i="4"/>
  <c r="AC54" i="4"/>
  <c r="AK14" i="4"/>
  <c r="AC18" i="4"/>
  <c r="AD30" i="4"/>
  <c r="AK46" i="4"/>
  <c r="AH46" i="4" s="1"/>
  <c r="U20" i="4" s="1"/>
  <c r="V20" i="4" s="1"/>
  <c r="AK20" i="4"/>
  <c r="AD24" i="4"/>
  <c r="AK32" i="4"/>
  <c r="AC36" i="4"/>
  <c r="AK38" i="4"/>
  <c r="AC42" i="4"/>
  <c r="AE24" i="4"/>
  <c r="AE48" i="4"/>
  <c r="AE54" i="4"/>
  <c r="AK23" i="4"/>
  <c r="AH23" i="4" s="1"/>
  <c r="U28" i="4" s="1"/>
  <c r="W28" i="4" s="1"/>
  <c r="AK22" i="4"/>
  <c r="AH22" i="4" s="1"/>
  <c r="U44" i="4" s="1"/>
  <c r="V44" i="4" s="1"/>
  <c r="AK17" i="4"/>
  <c r="AH17" i="4" s="1"/>
  <c r="AD12" i="4"/>
  <c r="AC12" i="4"/>
  <c r="AK8" i="4"/>
  <c r="AK11" i="4"/>
  <c r="AK29" i="4"/>
  <c r="AH29" i="4" s="1"/>
  <c r="AK26" i="4"/>
  <c r="AC30" i="4"/>
  <c r="AK52" i="4"/>
  <c r="AH52" i="4" s="1"/>
  <c r="AD18" i="4"/>
  <c r="AK53" i="4"/>
  <c r="AH53" i="4" s="1"/>
  <c r="AE36" i="4"/>
  <c r="AE12" i="4"/>
  <c r="AK10" i="4"/>
  <c r="AK9" i="4"/>
  <c r="V40" i="4"/>
  <c r="W40" i="4"/>
  <c r="V39" i="4"/>
  <c r="W39" i="4"/>
  <c r="V24" i="4"/>
  <c r="V23" i="4"/>
  <c r="V7" i="4"/>
  <c r="U16" i="4"/>
  <c r="V8" i="4"/>
  <c r="AJ51" i="4"/>
  <c r="AJ45" i="4"/>
  <c r="AJ44" i="4"/>
  <c r="AJ9" i="4"/>
  <c r="AJ16" i="4"/>
  <c r="AJ21" i="4"/>
  <c r="AJ39" i="4"/>
  <c r="AJ46" i="4"/>
  <c r="AJ22" i="4"/>
  <c r="AJ29" i="4"/>
  <c r="AJ20" i="4"/>
  <c r="AJ50" i="4"/>
  <c r="AJ23" i="4"/>
  <c r="AJ38" i="4"/>
  <c r="AJ41" i="4"/>
  <c r="AJ10" i="4"/>
  <c r="AJ40" i="4"/>
  <c r="AJ47" i="4"/>
  <c r="AJ27" i="4"/>
  <c r="AJ52" i="4"/>
  <c r="AJ35" i="4"/>
  <c r="AJ32" i="4"/>
  <c r="AJ26" i="4"/>
  <c r="AJ14" i="4"/>
  <c r="AJ17" i="4"/>
  <c r="AJ11" i="4"/>
  <c r="AJ33" i="4"/>
  <c r="AJ28" i="4"/>
  <c r="AJ34" i="4"/>
  <c r="AJ15" i="4"/>
  <c r="AJ53" i="4"/>
  <c r="U22" i="4" l="1"/>
  <c r="V22" i="4" s="1"/>
  <c r="V18" i="4"/>
  <c r="W18" i="4"/>
  <c r="V42" i="4"/>
  <c r="W42" i="4"/>
  <c r="V36" i="4"/>
  <c r="W20" i="4"/>
  <c r="V46" i="4"/>
  <c r="W46" i="4"/>
  <c r="U48" i="4"/>
  <c r="V48" i="4" s="1"/>
  <c r="U34" i="4"/>
  <c r="W44" i="4"/>
  <c r="U12" i="4"/>
  <c r="W12" i="4" s="1"/>
  <c r="U50" i="4"/>
  <c r="V50" i="4" s="1"/>
  <c r="U38" i="4"/>
  <c r="U52" i="4"/>
  <c r="V52" i="4" s="1"/>
  <c r="AK12" i="4"/>
  <c r="AH32" i="4"/>
  <c r="AK36" i="4"/>
  <c r="AH14" i="4"/>
  <c r="U41" i="4" s="1"/>
  <c r="AK18" i="4"/>
  <c r="U54" i="4"/>
  <c r="AH26" i="4"/>
  <c r="U45" i="4" s="1"/>
  <c r="AK30" i="4"/>
  <c r="U30" i="4"/>
  <c r="U14" i="4"/>
  <c r="AH38" i="4"/>
  <c r="AK42" i="4"/>
  <c r="AK54" i="4"/>
  <c r="AH50" i="4"/>
  <c r="U26" i="4"/>
  <c r="U10" i="4"/>
  <c r="AH20" i="4"/>
  <c r="AK24" i="4"/>
  <c r="AH44" i="4"/>
  <c r="AK48" i="4"/>
  <c r="V28" i="4"/>
  <c r="V32" i="4"/>
  <c r="W32" i="4"/>
  <c r="W16" i="4"/>
  <c r="V16" i="4"/>
  <c r="V12" i="4" l="1"/>
  <c r="W22" i="4"/>
  <c r="W48" i="4"/>
  <c r="V34" i="4"/>
  <c r="W34" i="4"/>
  <c r="W50" i="4"/>
  <c r="W38" i="4"/>
  <c r="V38" i="4"/>
  <c r="W52" i="4"/>
  <c r="W26" i="4"/>
  <c r="V26" i="4"/>
  <c r="V14" i="4"/>
  <c r="W14" i="4"/>
  <c r="AH19" i="4"/>
  <c r="AH18" i="4" s="1"/>
  <c r="U25" i="4"/>
  <c r="U9" i="4"/>
  <c r="U27" i="4"/>
  <c r="U11" i="4"/>
  <c r="AH25" i="4"/>
  <c r="AH24" i="4" s="1"/>
  <c r="U43" i="4"/>
  <c r="V30" i="4"/>
  <c r="W30" i="4"/>
  <c r="U29" i="4"/>
  <c r="U13" i="4"/>
  <c r="AH31" i="4"/>
  <c r="AH30" i="4" s="1"/>
  <c r="W41" i="4"/>
  <c r="V41" i="4"/>
  <c r="U33" i="4"/>
  <c r="U49" i="4"/>
  <c r="U17" i="4"/>
  <c r="AH43" i="4"/>
  <c r="AH42" i="4" s="1"/>
  <c r="W54" i="4"/>
  <c r="V54" i="4"/>
  <c r="U31" i="4"/>
  <c r="U15" i="4"/>
  <c r="U47" i="4"/>
  <c r="AH37" i="4"/>
  <c r="AH36" i="4" s="1"/>
  <c r="U35" i="4"/>
  <c r="U51" i="4"/>
  <c r="AH49" i="4"/>
  <c r="AH48" i="4" s="1"/>
  <c r="U19" i="4"/>
  <c r="W10" i="4"/>
  <c r="V10" i="4"/>
  <c r="U37" i="4"/>
  <c r="AH55" i="4"/>
  <c r="AH54" i="4" s="1"/>
  <c r="U53" i="4"/>
  <c r="U21" i="4"/>
  <c r="W45" i="4"/>
  <c r="V45" i="4"/>
  <c r="V53" i="4" l="1"/>
  <c r="W53" i="4"/>
  <c r="W31" i="4"/>
  <c r="V31" i="4"/>
  <c r="W19" i="4"/>
  <c r="V19" i="4"/>
  <c r="V49" i="4"/>
  <c r="W49" i="4"/>
  <c r="W27" i="4"/>
  <c r="V27" i="4"/>
  <c r="W47" i="4"/>
  <c r="V47" i="4"/>
  <c r="W33" i="4"/>
  <c r="V33" i="4"/>
  <c r="W13" i="4"/>
  <c r="V13" i="4"/>
  <c r="W43" i="4"/>
  <c r="V43" i="4"/>
  <c r="V9" i="4"/>
  <c r="W9" i="4"/>
  <c r="AQ45" i="4"/>
  <c r="AP32" i="4"/>
  <c r="AP17" i="4"/>
  <c r="AQ52" i="4"/>
  <c r="AQ38" i="4"/>
  <c r="AP33" i="4"/>
  <c r="AQ28" i="4"/>
  <c r="AP16" i="4"/>
  <c r="AS11" i="4"/>
  <c r="AS15" i="4"/>
  <c r="AR23" i="4"/>
  <c r="AS17" i="4"/>
  <c r="AR40" i="4"/>
  <c r="AQ53" i="4"/>
  <c r="AS39" i="4"/>
  <c r="AQ8" i="4"/>
  <c r="AP34" i="4"/>
  <c r="AP27" i="4"/>
  <c r="AQ39" i="4"/>
  <c r="AR52" i="4"/>
  <c r="AQ21" i="4"/>
  <c r="AS47" i="4"/>
  <c r="AS22" i="4"/>
  <c r="AP51" i="4"/>
  <c r="AS41" i="4"/>
  <c r="AS23" i="4"/>
  <c r="AT23" i="4" s="1"/>
  <c r="AP15" i="4"/>
  <c r="AR33" i="4"/>
  <c r="AR14" i="4"/>
  <c r="AP8" i="4"/>
  <c r="AR15" i="4"/>
  <c r="AT15" i="4" s="1"/>
  <c r="AP26" i="4"/>
  <c r="AS45" i="4"/>
  <c r="AP28" i="4"/>
  <c r="AQ44" i="4"/>
  <c r="AQ15" i="4"/>
  <c r="AS16" i="4"/>
  <c r="AR41" i="4"/>
  <c r="AR29" i="4"/>
  <c r="AP14" i="4"/>
  <c r="AR9" i="4"/>
  <c r="AQ41" i="4"/>
  <c r="AQ29" i="4"/>
  <c r="AR38" i="4"/>
  <c r="AQ50" i="4"/>
  <c r="AP53" i="4"/>
  <c r="AQ16" i="4"/>
  <c r="AP11" i="4"/>
  <c r="AS52" i="4"/>
  <c r="AS10" i="4"/>
  <c r="AP47" i="4"/>
  <c r="AS50" i="4"/>
  <c r="AP52" i="4"/>
  <c r="AP44" i="4"/>
  <c r="AR35" i="4"/>
  <c r="AQ35" i="4"/>
  <c r="AP40" i="4"/>
  <c r="AS40" i="4"/>
  <c r="AT40" i="4" s="1"/>
  <c r="AQ14" i="4"/>
  <c r="AS44" i="4"/>
  <c r="AR27" i="4"/>
  <c r="AR32" i="4"/>
  <c r="AS29" i="4"/>
  <c r="AQ47" i="4"/>
  <c r="AR26" i="4"/>
  <c r="AS33" i="4"/>
  <c r="AQ20" i="4"/>
  <c r="AP50" i="4"/>
  <c r="AS9" i="4"/>
  <c r="AR44" i="4"/>
  <c r="AP29" i="4"/>
  <c r="AS20" i="4"/>
  <c r="AP38" i="4"/>
  <c r="AR22" i="4"/>
  <c r="AT22" i="4" s="1"/>
  <c r="AS38" i="4"/>
  <c r="AS42" i="4" s="1"/>
  <c r="AQ22" i="4"/>
  <c r="AQ10" i="4"/>
  <c r="AS14" i="4"/>
  <c r="AR10" i="4"/>
  <c r="AT10" i="4" s="1"/>
  <c r="AR46" i="4"/>
  <c r="AP39" i="4"/>
  <c r="AP23" i="4"/>
  <c r="AR28" i="4"/>
  <c r="AQ40" i="4"/>
  <c r="AR20" i="4"/>
  <c r="AQ27" i="4"/>
  <c r="AR17" i="4"/>
  <c r="AP21" i="4"/>
  <c r="AS51" i="4"/>
  <c r="AS8" i="4"/>
  <c r="AS12" i="4" s="1"/>
  <c r="AQ23" i="4"/>
  <c r="AR45" i="4"/>
  <c r="AT45" i="4" s="1"/>
  <c r="AP35" i="4"/>
  <c r="AP36" i="4" s="1"/>
  <c r="AQ9" i="4"/>
  <c r="AR50" i="4"/>
  <c r="AR53" i="4"/>
  <c r="AQ32" i="4"/>
  <c r="AS21" i="4"/>
  <c r="AR39" i="4"/>
  <c r="AT39" i="4" s="1"/>
  <c r="AQ46" i="4"/>
  <c r="AQ17" i="4"/>
  <c r="AS26" i="4"/>
  <c r="AS32" i="4"/>
  <c r="AP45" i="4"/>
  <c r="AQ26" i="4"/>
  <c r="AQ30" i="4" s="1"/>
  <c r="AQ33" i="4"/>
  <c r="AP20" i="4"/>
  <c r="AP9" i="4"/>
  <c r="AS53" i="4"/>
  <c r="AS46" i="4"/>
  <c r="AS34" i="4"/>
  <c r="AR21" i="4"/>
  <c r="AP10" i="4"/>
  <c r="AR47" i="4"/>
  <c r="AT47" i="4" s="1"/>
  <c r="AQ11" i="4"/>
  <c r="AQ51" i="4"/>
  <c r="AR34" i="4"/>
  <c r="AP46" i="4"/>
  <c r="AS35" i="4"/>
  <c r="AP41" i="4"/>
  <c r="AR16" i="4"/>
  <c r="AT16" i="4" s="1"/>
  <c r="AS28" i="4"/>
  <c r="AR8" i="4"/>
  <c r="AP22" i="4"/>
  <c r="AR11" i="4"/>
  <c r="AT11" i="4" s="1"/>
  <c r="AQ34" i="4"/>
  <c r="AR51" i="4"/>
  <c r="AT51" i="4" s="1"/>
  <c r="AS27" i="4"/>
  <c r="V21" i="4"/>
  <c r="W21" i="4"/>
  <c r="V51" i="4"/>
  <c r="W51" i="4"/>
  <c r="V15" i="4"/>
  <c r="W15" i="4"/>
  <c r="V29" i="4"/>
  <c r="W29" i="4"/>
  <c r="W25" i="4"/>
  <c r="V25" i="4"/>
  <c r="W37" i="4"/>
  <c r="V37" i="4"/>
  <c r="V35" i="4"/>
  <c r="W35" i="4"/>
  <c r="W17" i="4"/>
  <c r="V17" i="4"/>
  <c r="W11" i="4"/>
  <c r="V11" i="4"/>
  <c r="AT21" i="4" l="1"/>
  <c r="AP54" i="4"/>
  <c r="AT34" i="4"/>
  <c r="AT17" i="4"/>
  <c r="AS18" i="4"/>
  <c r="AT53" i="4"/>
  <c r="AT46" i="4"/>
  <c r="AS24" i="4"/>
  <c r="AS48" i="4"/>
  <c r="AS54" i="4"/>
  <c r="AT38" i="4"/>
  <c r="AR42" i="4"/>
  <c r="AP30" i="4"/>
  <c r="AT33" i="4"/>
  <c r="AT52" i="4"/>
  <c r="AQ12" i="4"/>
  <c r="AT8" i="4"/>
  <c r="AR12" i="4"/>
  <c r="AP24" i="4"/>
  <c r="AS36" i="4"/>
  <c r="AR54" i="4"/>
  <c r="AT50" i="4"/>
  <c r="AT28" i="4"/>
  <c r="AQ24" i="4"/>
  <c r="AQ18" i="4"/>
  <c r="AT35" i="4"/>
  <c r="AT29" i="4"/>
  <c r="AQ48" i="4"/>
  <c r="AP18" i="4"/>
  <c r="AS30" i="4"/>
  <c r="AT44" i="4"/>
  <c r="AT48" i="4" s="1"/>
  <c r="AR48" i="4"/>
  <c r="AT32" i="4"/>
  <c r="AR36" i="4"/>
  <c r="AP48" i="4"/>
  <c r="AP12" i="4"/>
  <c r="AQ36" i="4"/>
  <c r="AR24" i="4"/>
  <c r="AT20" i="4"/>
  <c r="AP42" i="4"/>
  <c r="AT26" i="4"/>
  <c r="AR30" i="4"/>
  <c r="AT27" i="4"/>
  <c r="AQ54" i="4"/>
  <c r="AT9" i="4"/>
  <c r="AR18" i="4"/>
  <c r="AT14" i="4"/>
  <c r="AT41" i="4"/>
  <c r="AQ42" i="4"/>
  <c r="AT24" i="4" l="1"/>
  <c r="AL23" i="4" s="1"/>
  <c r="AT18" i="4"/>
  <c r="AL14" i="4" s="1"/>
  <c r="AL44" i="4"/>
  <c r="AL47" i="4"/>
  <c r="AL21" i="4"/>
  <c r="AT36" i="4"/>
  <c r="AL35" i="4" s="1"/>
  <c r="AL46" i="4"/>
  <c r="AL45" i="4"/>
  <c r="AL20" i="4"/>
  <c r="AT30" i="4"/>
  <c r="AT12" i="4"/>
  <c r="AL9" i="4" s="1"/>
  <c r="AT42" i="4"/>
  <c r="AL40" i="4" s="1"/>
  <c r="AT54" i="4"/>
  <c r="AL22" i="4" l="1"/>
  <c r="AL15" i="4"/>
  <c r="AL16" i="4"/>
  <c r="AL17" i="4"/>
  <c r="AL8" i="4"/>
  <c r="AL48" i="4"/>
  <c r="AN47" i="4" s="1"/>
  <c r="AL24" i="4"/>
  <c r="AN21" i="4" s="1"/>
  <c r="AL33" i="4"/>
  <c r="AL32" i="4"/>
  <c r="AL34" i="4"/>
  <c r="AL28" i="4"/>
  <c r="AL26" i="4"/>
  <c r="AL27" i="4"/>
  <c r="AL29" i="4"/>
  <c r="AL41" i="4"/>
  <c r="AL51" i="4"/>
  <c r="AL53" i="4"/>
  <c r="AL11" i="4"/>
  <c r="AL10" i="4"/>
  <c r="AL38" i="4"/>
  <c r="AL50" i="4"/>
  <c r="AL52" i="4"/>
  <c r="AL39" i="4"/>
  <c r="AN22" i="4" l="1"/>
  <c r="AN45" i="4"/>
  <c r="AA45" i="4" s="1"/>
  <c r="AN44" i="4"/>
  <c r="AA44" i="4" s="1"/>
  <c r="O45" i="4" s="1"/>
  <c r="AN46" i="4"/>
  <c r="AN20" i="4"/>
  <c r="AL18" i="4"/>
  <c r="AN17" i="4" s="1"/>
  <c r="AL36" i="4"/>
  <c r="AN35" i="4" s="1"/>
  <c r="AL12" i="4"/>
  <c r="AN10" i="4" s="1"/>
  <c r="AN23" i="4"/>
  <c r="AA22" i="4" s="1"/>
  <c r="AN14" i="4"/>
  <c r="AL30" i="4"/>
  <c r="AL54" i="4"/>
  <c r="AL42" i="4"/>
  <c r="AN39" i="4" s="1"/>
  <c r="AA20" i="4"/>
  <c r="AA46" i="4"/>
  <c r="AA47" i="4" l="1"/>
  <c r="AN32" i="4"/>
  <c r="AN33" i="4"/>
  <c r="AA23" i="4"/>
  <c r="AN34" i="4"/>
  <c r="AN15" i="4"/>
  <c r="AA14" i="4" s="1"/>
  <c r="AN16" i="4"/>
  <c r="AN9" i="4"/>
  <c r="AN8" i="4"/>
  <c r="AN11" i="4"/>
  <c r="AA21" i="4"/>
  <c r="J24" i="4" s="1"/>
  <c r="AN41" i="4"/>
  <c r="AN27" i="4"/>
  <c r="AN29" i="4"/>
  <c r="AN26" i="4"/>
  <c r="AN28" i="4"/>
  <c r="AN38" i="4"/>
  <c r="AN40" i="4"/>
  <c r="AN51" i="4"/>
  <c r="AN52" i="4"/>
  <c r="AN50" i="4"/>
  <c r="AN53" i="4"/>
  <c r="M46" i="4"/>
  <c r="M45" i="4"/>
  <c r="J45" i="4"/>
  <c r="AO44" i="4" s="1"/>
  <c r="AZ22" i="4" s="1"/>
  <c r="S63" i="4" s="1"/>
  <c r="T63" i="4" s="1"/>
  <c r="BF21" i="4" s="1"/>
  <c r="S70" i="4" s="1"/>
  <c r="T70" i="4" s="1"/>
  <c r="BL17" i="4" s="1"/>
  <c r="S76" i="4" s="1"/>
  <c r="T76" i="4" s="1"/>
  <c r="BR23" i="4" s="1"/>
  <c r="S85" i="4" s="1"/>
  <c r="L45" i="4"/>
  <c r="M48" i="4"/>
  <c r="N45" i="4"/>
  <c r="L46" i="4"/>
  <c r="L23" i="4"/>
  <c r="O21" i="4"/>
  <c r="N23" i="4"/>
  <c r="O46" i="4"/>
  <c r="N47" i="4"/>
  <c r="J48" i="4"/>
  <c r="M47" i="4"/>
  <c r="L47" i="4"/>
  <c r="J46" i="4"/>
  <c r="AO45" i="4" s="1"/>
  <c r="AZ39" i="4" s="1"/>
  <c r="L48" i="4"/>
  <c r="J47" i="4"/>
  <c r="N48" i="4"/>
  <c r="L22" i="4"/>
  <c r="O47" i="4"/>
  <c r="N46" i="4"/>
  <c r="O48" i="4"/>
  <c r="M24" i="4"/>
  <c r="O24" i="4" l="1"/>
  <c r="AA32" i="4"/>
  <c r="J23" i="4"/>
  <c r="N24" i="4"/>
  <c r="O23" i="4"/>
  <c r="AA16" i="4"/>
  <c r="AA35" i="4"/>
  <c r="M23" i="4"/>
  <c r="P23" i="4" s="1"/>
  <c r="M33" i="4"/>
  <c r="L33" i="4"/>
  <c r="J22" i="4"/>
  <c r="AO21" i="4" s="1"/>
  <c r="AZ31" i="4" s="1"/>
  <c r="AA17" i="4"/>
  <c r="AA34" i="4"/>
  <c r="L21" i="4"/>
  <c r="N21" i="4"/>
  <c r="J21" i="4"/>
  <c r="AO20" i="4" s="1"/>
  <c r="AZ14" i="4" s="1"/>
  <c r="O33" i="4"/>
  <c r="AA33" i="4"/>
  <c r="M22" i="4"/>
  <c r="P22" i="4" s="1"/>
  <c r="N33" i="4"/>
  <c r="L24" i="4"/>
  <c r="K24" i="4" s="1"/>
  <c r="J33" i="4"/>
  <c r="AO32" i="4" s="1"/>
  <c r="AZ18" i="4" s="1"/>
  <c r="S62" i="4" s="1"/>
  <c r="T62" i="4" s="1"/>
  <c r="BF20" i="4" s="1"/>
  <c r="AA11" i="4"/>
  <c r="AA15" i="4"/>
  <c r="L16" i="4" s="1"/>
  <c r="AA8" i="4"/>
  <c r="AA10" i="4"/>
  <c r="AA9" i="4"/>
  <c r="N22" i="4"/>
  <c r="M21" i="4"/>
  <c r="P21" i="4" s="1"/>
  <c r="O22" i="4"/>
  <c r="AA26" i="4"/>
  <c r="N27" i="4" s="1"/>
  <c r="O15" i="4"/>
  <c r="N15" i="4"/>
  <c r="L15" i="4"/>
  <c r="J15" i="4"/>
  <c r="AO14" i="4" s="1"/>
  <c r="AZ26" i="4" s="1"/>
  <c r="S60" i="4" s="1"/>
  <c r="T60" i="4" s="1"/>
  <c r="BF28" i="4" s="1"/>
  <c r="S71" i="4" s="1"/>
  <c r="T71" i="4" s="1"/>
  <c r="BL32" i="4" s="1"/>
  <c r="U77" i="4" s="1"/>
  <c r="Z77" i="4" s="1"/>
  <c r="BR36" i="4" s="1"/>
  <c r="M15" i="4"/>
  <c r="T85" i="4"/>
  <c r="BO41" i="4"/>
  <c r="AA38" i="4"/>
  <c r="L39" i="4" s="1"/>
  <c r="AA28" i="4"/>
  <c r="AA29" i="4"/>
  <c r="AA50" i="4"/>
  <c r="AA27" i="4"/>
  <c r="AA39" i="4"/>
  <c r="AA52" i="4"/>
  <c r="AA41" i="4"/>
  <c r="AA51" i="4"/>
  <c r="AA53" i="4"/>
  <c r="AA40" i="4"/>
  <c r="P45" i="4"/>
  <c r="P46" i="4"/>
  <c r="K45" i="4"/>
  <c r="P48" i="4"/>
  <c r="K46" i="4"/>
  <c r="K23" i="4"/>
  <c r="P47" i="4"/>
  <c r="K47" i="4"/>
  <c r="K48" i="4"/>
  <c r="P24" i="4" l="1"/>
  <c r="K33" i="4"/>
  <c r="M36" i="4"/>
  <c r="P33" i="4"/>
  <c r="O34" i="4"/>
  <c r="J18" i="4"/>
  <c r="K22" i="4"/>
  <c r="J29" i="4"/>
  <c r="N17" i="4"/>
  <c r="L18" i="4"/>
  <c r="M16" i="4"/>
  <c r="P16" i="4" s="1"/>
  <c r="J36" i="4"/>
  <c r="J34" i="4"/>
  <c r="AO33" i="4" s="1"/>
  <c r="AZ35" i="4" s="1"/>
  <c r="O18" i="4"/>
  <c r="J17" i="4"/>
  <c r="O35" i="4"/>
  <c r="N36" i="4"/>
  <c r="N34" i="4"/>
  <c r="M34" i="4"/>
  <c r="L17" i="4"/>
  <c r="N35" i="4"/>
  <c r="L36" i="4"/>
  <c r="L35" i="4"/>
  <c r="O36" i="4"/>
  <c r="J35" i="4"/>
  <c r="L34" i="4"/>
  <c r="M35" i="4"/>
  <c r="J27" i="4"/>
  <c r="AO26" i="4" s="1"/>
  <c r="AZ30" i="4" s="1"/>
  <c r="S61" i="4" s="1"/>
  <c r="T61" i="4" s="1"/>
  <c r="BF29" i="4" s="1"/>
  <c r="M17" i="4"/>
  <c r="M18" i="4"/>
  <c r="N16" i="4"/>
  <c r="O16" i="4"/>
  <c r="N18" i="4"/>
  <c r="J16" i="4"/>
  <c r="AO15" i="4" s="1"/>
  <c r="AZ11" i="4" s="1"/>
  <c r="S58" i="4" s="1"/>
  <c r="T58" i="4" s="1"/>
  <c r="BF12" i="4" s="1"/>
  <c r="S69" i="4" s="1"/>
  <c r="T69" i="4" s="1"/>
  <c r="BL16" i="4" s="1"/>
  <c r="U76" i="4" s="1"/>
  <c r="Z76" i="4" s="1"/>
  <c r="BR35" i="4" s="1"/>
  <c r="T81" i="4" s="1"/>
  <c r="O17" i="4"/>
  <c r="J39" i="4"/>
  <c r="AO38" i="4" s="1"/>
  <c r="AZ34" i="4" s="1"/>
  <c r="S64" i="4" s="1"/>
  <c r="T64" i="4" s="1"/>
  <c r="BF36" i="4" s="1"/>
  <c r="S72" i="4" s="1"/>
  <c r="T72" i="4" s="1"/>
  <c r="BL33" i="4" s="1"/>
  <c r="S77" i="4" s="1"/>
  <c r="T77" i="4" s="1"/>
  <c r="BR24" i="4" s="1"/>
  <c r="M27" i="4"/>
  <c r="L27" i="4"/>
  <c r="M39" i="4"/>
  <c r="O9" i="4"/>
  <c r="N9" i="4"/>
  <c r="J9" i="4"/>
  <c r="AO8" i="4" s="1"/>
  <c r="AZ10" i="4" s="1"/>
  <c r="O12" i="4"/>
  <c r="O10" i="4"/>
  <c r="J12" i="4"/>
  <c r="J11" i="4"/>
  <c r="L11" i="4"/>
  <c r="L12" i="4"/>
  <c r="M12" i="4"/>
  <c r="N11" i="4"/>
  <c r="N12" i="4"/>
  <c r="N10" i="4"/>
  <c r="L9" i="4"/>
  <c r="M11" i="4"/>
  <c r="M9" i="4"/>
  <c r="M10" i="4"/>
  <c r="O11" i="4"/>
  <c r="J10" i="4"/>
  <c r="AO9" i="4" s="1"/>
  <c r="AZ27" i="4" s="1"/>
  <c r="L10" i="4"/>
  <c r="N39" i="4"/>
  <c r="N42" i="4"/>
  <c r="J42" i="4"/>
  <c r="K21" i="4"/>
  <c r="O42" i="4"/>
  <c r="O39" i="4"/>
  <c r="L42" i="4"/>
  <c r="M40" i="4"/>
  <c r="O27" i="4"/>
  <c r="K15" i="4"/>
  <c r="P15" i="4"/>
  <c r="P39" i="4"/>
  <c r="M42" i="4"/>
  <c r="O41" i="4"/>
  <c r="M41" i="4"/>
  <c r="N40" i="4"/>
  <c r="J40" i="4"/>
  <c r="AO39" i="4" s="1"/>
  <c r="AZ19" i="4" s="1"/>
  <c r="M28" i="4"/>
  <c r="J28" i="4"/>
  <c r="AO27" i="4" s="1"/>
  <c r="AZ15" i="4" s="1"/>
  <c r="S59" i="4" s="1"/>
  <c r="T59" i="4" s="1"/>
  <c r="BF13" i="4" s="1"/>
  <c r="L40" i="4"/>
  <c r="K40" i="4" s="1"/>
  <c r="N52" i="4"/>
  <c r="L52" i="4"/>
  <c r="M52" i="4"/>
  <c r="O52" i="4"/>
  <c r="O30" i="4"/>
  <c r="N29" i="4"/>
  <c r="J41" i="4"/>
  <c r="O40" i="4"/>
  <c r="L41" i="4"/>
  <c r="N41" i="4"/>
  <c r="J52" i="4"/>
  <c r="AO51" i="4" s="1"/>
  <c r="AZ23" i="4" s="1"/>
  <c r="L29" i="4"/>
  <c r="O28" i="4"/>
  <c r="J30" i="4"/>
  <c r="N30" i="4"/>
  <c r="O29" i="4"/>
  <c r="M30" i="4"/>
  <c r="L30" i="4"/>
  <c r="N28" i="4"/>
  <c r="L28" i="4"/>
  <c r="M29" i="4"/>
  <c r="J51" i="4"/>
  <c r="AO50" i="4" s="1"/>
  <c r="AZ38" i="4" s="1"/>
  <c r="S65" i="4" s="1"/>
  <c r="T65" i="4" s="1"/>
  <c r="BF37" i="4" s="1"/>
  <c r="M51" i="4"/>
  <c r="N53" i="4"/>
  <c r="L51" i="4"/>
  <c r="J54" i="4"/>
  <c r="L54" i="4"/>
  <c r="M54" i="4"/>
  <c r="N54" i="4"/>
  <c r="O51" i="4"/>
  <c r="M53" i="4"/>
  <c r="L53" i="4"/>
  <c r="O54" i="4"/>
  <c r="N51" i="4"/>
  <c r="J53" i="4"/>
  <c r="O53" i="4"/>
  <c r="K18" i="4" l="1"/>
  <c r="P18" i="4"/>
  <c r="K17" i="4"/>
  <c r="P40" i="4"/>
  <c r="K39" i="4"/>
  <c r="K16" i="4"/>
  <c r="P35" i="4"/>
  <c r="K35" i="4"/>
  <c r="P27" i="4"/>
  <c r="P17" i="4"/>
  <c r="K34" i="4"/>
  <c r="P34" i="4"/>
  <c r="K36" i="4"/>
  <c r="P36" i="4"/>
  <c r="K42" i="4"/>
  <c r="K27" i="4"/>
  <c r="P42" i="4"/>
  <c r="P9" i="4"/>
  <c r="K9" i="4"/>
  <c r="P41" i="4"/>
  <c r="K12" i="4"/>
  <c r="P12" i="4"/>
  <c r="P10" i="4"/>
  <c r="K10" i="4"/>
  <c r="K11" i="4"/>
  <c r="P11" i="4"/>
  <c r="K41" i="4"/>
  <c r="P29" i="4"/>
  <c r="P28" i="4"/>
  <c r="K28" i="4"/>
  <c r="K30" i="4"/>
  <c r="P30" i="4"/>
  <c r="K29" i="4"/>
  <c r="P52" i="4"/>
  <c r="K52" i="4"/>
  <c r="K51" i="4"/>
  <c r="P51" i="4"/>
  <c r="P53" i="4"/>
  <c r="K53" i="4"/>
  <c r="K54" i="4"/>
  <c r="P54" i="4"/>
</calcChain>
</file>

<file path=xl/sharedStrings.xml><?xml version="1.0" encoding="utf-8"?>
<sst xmlns="http://schemas.openxmlformats.org/spreadsheetml/2006/main" count="316" uniqueCount="120">
  <si>
    <t>Fri</t>
  </si>
  <si>
    <t>France</t>
  </si>
  <si>
    <t>Sat</t>
  </si>
  <si>
    <t>Switzerland</t>
  </si>
  <si>
    <t>England</t>
  </si>
  <si>
    <t>Russia</t>
  </si>
  <si>
    <t>Sun</t>
  </si>
  <si>
    <t>Croatia</t>
  </si>
  <si>
    <t>Poland</t>
  </si>
  <si>
    <t>Germany</t>
  </si>
  <si>
    <t>Mon</t>
  </si>
  <si>
    <t>Spain</t>
  </si>
  <si>
    <t>Sweden</t>
  </si>
  <si>
    <t>Belgium</t>
  </si>
  <si>
    <t>Portugal</t>
  </si>
  <si>
    <t>Iceland</t>
  </si>
  <si>
    <t>Wed</t>
  </si>
  <si>
    <t>NAME:</t>
  </si>
  <si>
    <t>EMAIL:</t>
  </si>
  <si>
    <t>RULES</t>
  </si>
  <si>
    <t>GROUP GAMES</t>
  </si>
  <si>
    <r>
      <t>1 POINT</t>
    </r>
    <r>
      <rPr>
        <b/>
        <sz val="10"/>
        <rFont val="Arial"/>
        <family val="2"/>
      </rPr>
      <t xml:space="preserve"> WILL BE AWARDED FOR </t>
    </r>
  </si>
  <si>
    <t xml:space="preserve">EACH CORRECT OUTCOME. </t>
  </si>
  <si>
    <t>NO SCORES NEEDED AFTER GROUP STAGE</t>
  </si>
  <si>
    <t>QUARTER FINAL</t>
  </si>
  <si>
    <r>
      <t>1 POINT</t>
    </r>
    <r>
      <rPr>
        <b/>
        <sz val="10"/>
        <rFont val="Arial"/>
        <family val="2"/>
      </rPr>
      <t xml:space="preserve"> AWARDED FOR GUESSING </t>
    </r>
  </si>
  <si>
    <t>SEMI FINAL</t>
  </si>
  <si>
    <t xml:space="preserve">FINAL </t>
  </si>
  <si>
    <t>WINNER</t>
  </si>
  <si>
    <r>
      <t>5 POINTS</t>
    </r>
    <r>
      <rPr>
        <b/>
        <sz val="10"/>
        <rFont val="Arial"/>
        <family val="2"/>
      </rPr>
      <t xml:space="preserve"> AWARDED FOR GUESSING</t>
    </r>
  </si>
  <si>
    <t>THE CHAMPIONS.</t>
  </si>
  <si>
    <t xml:space="preserve">THE COMPETITION WILL PAY TO </t>
  </si>
  <si>
    <t xml:space="preserve">  WINNER</t>
  </si>
  <si>
    <t>LAST 16</t>
  </si>
  <si>
    <r>
      <t xml:space="preserve">3 POINTS </t>
    </r>
    <r>
      <rPr>
        <b/>
        <sz val="10"/>
        <color indexed="8"/>
        <rFont val="Arial"/>
        <family val="2"/>
      </rPr>
      <t>AWARDED</t>
    </r>
    <r>
      <rPr>
        <b/>
        <sz val="10"/>
        <rFont val="Arial"/>
        <family val="2"/>
      </rPr>
      <t xml:space="preserve"> FOR GUESSING </t>
    </r>
  </si>
  <si>
    <r>
      <t xml:space="preserve">4 POINTS </t>
    </r>
    <r>
      <rPr>
        <b/>
        <sz val="10"/>
        <color indexed="8"/>
        <rFont val="Arial"/>
        <family val="2"/>
      </rPr>
      <t>AWARDED FOR GUESSING</t>
    </r>
  </si>
  <si>
    <t xml:space="preserve">CORRECTLY EACH OF THE LAST 16. </t>
  </si>
  <si>
    <t xml:space="preserve">ENTER YOUR SCORES FOR </t>
  </si>
  <si>
    <t>£10 ENTRY</t>
  </si>
  <si>
    <t>3RD PLACE………...…..10% OF THE POT</t>
  </si>
  <si>
    <t>2ND PLACE …..…....….20% OF THE POT</t>
  </si>
  <si>
    <t>TO PAY BY BANK TRANSFER</t>
  </si>
  <si>
    <t>Please use your name as reference.</t>
  </si>
  <si>
    <t>Thur</t>
  </si>
  <si>
    <t>Tues</t>
  </si>
  <si>
    <t>Saudi Arabia</t>
  </si>
  <si>
    <r>
      <t xml:space="preserve">    QUARTER FINAL - </t>
    </r>
    <r>
      <rPr>
        <b/>
        <sz val="14"/>
        <rFont val="Calibri"/>
        <family val="2"/>
      </rPr>
      <t>(Fri 6th &amp; Sat 7th July)</t>
    </r>
  </si>
  <si>
    <r>
      <t xml:space="preserve">LAST 16 - </t>
    </r>
    <r>
      <rPr>
        <b/>
        <sz val="14"/>
        <rFont val="Calibri"/>
        <family val="2"/>
      </rPr>
      <t>(Sat 30th June to Tues 3rd July)</t>
    </r>
  </si>
  <si>
    <t>SEMI FINAL  - (Tues 10th &amp; Wed 11th July)</t>
  </si>
  <si>
    <t>FINAL (Sun 15th July)</t>
  </si>
  <si>
    <t>4pm</t>
  </si>
  <si>
    <t>1pm</t>
  </si>
  <si>
    <t>Egypt</t>
  </si>
  <si>
    <t>Uruguay</t>
  </si>
  <si>
    <t>Iran</t>
  </si>
  <si>
    <t>7pm</t>
  </si>
  <si>
    <t>11am</t>
  </si>
  <si>
    <t>Australia</t>
  </si>
  <si>
    <t>2pm</t>
  </si>
  <si>
    <t>Argentina</t>
  </si>
  <si>
    <t>5pm</t>
  </si>
  <si>
    <t>Peru</t>
  </si>
  <si>
    <t>Denmark</t>
  </si>
  <si>
    <t>8pm</t>
  </si>
  <si>
    <t>Nigeria</t>
  </si>
  <si>
    <t>Costa Rica</t>
  </si>
  <si>
    <t>Serbia</t>
  </si>
  <si>
    <t>Mexico</t>
  </si>
  <si>
    <t>Brazil</t>
  </si>
  <si>
    <t>South Korea</t>
  </si>
  <si>
    <t>Panama</t>
  </si>
  <si>
    <t>Tunisia</t>
  </si>
  <si>
    <t>Columbia</t>
  </si>
  <si>
    <t>Japan</t>
  </si>
  <si>
    <t>Senegal</t>
  </si>
  <si>
    <t>Colombia</t>
  </si>
  <si>
    <t>3pm</t>
  </si>
  <si>
    <t>EACH OF THE 48 GROUP GAMES.</t>
  </si>
  <si>
    <t>PTS</t>
  </si>
  <si>
    <r>
      <t>3 POINTS</t>
    </r>
    <r>
      <rPr>
        <b/>
        <sz val="10"/>
        <rFont val="Arial"/>
        <family val="2"/>
      </rPr>
      <t xml:space="preserve"> WILL BE AWARDED FOR </t>
    </r>
  </si>
  <si>
    <t>EACH CORRECT SCORE OR</t>
  </si>
  <si>
    <r>
      <t>2 POINTS</t>
    </r>
    <r>
      <rPr>
        <b/>
        <sz val="10"/>
        <rFont val="Arial"/>
        <family val="2"/>
      </rPr>
      <t xml:space="preserve"> AWARDED FOR GUESSING </t>
    </r>
  </si>
  <si>
    <t xml:space="preserve">IN THE EVENT OF A TIE THE WINNINGS WILL BE SPLIT  </t>
  </si>
  <si>
    <r>
      <t xml:space="preserve">ENTRIES AND ENTRY MONEY </t>
    </r>
    <r>
      <rPr>
        <b/>
        <sz val="10"/>
        <color rgb="FFFF0000"/>
        <rFont val="Arial"/>
        <family val="2"/>
      </rPr>
      <t>MUST BE IN BY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3PM ON 14TH JUNE</t>
    </r>
    <r>
      <rPr>
        <b/>
        <sz val="10"/>
        <rFont val="Arial"/>
        <family val="2"/>
      </rPr>
      <t xml:space="preserve"> OTHERWISE YOUR ENTRY WILL NOT BE INCLUDED.</t>
    </r>
  </si>
  <si>
    <t>Russia 2018</t>
  </si>
  <si>
    <t>Shenfield CC FIFA World Cup Prediction Competition</t>
  </si>
  <si>
    <t>Game N0:</t>
  </si>
  <si>
    <t>ITV</t>
  </si>
  <si>
    <t>ITV4</t>
  </si>
  <si>
    <t>BBC</t>
  </si>
  <si>
    <t xml:space="preserve">CORRECTLY EACH QUARTER FINALIST </t>
  </si>
  <si>
    <t xml:space="preserve">CORRECTLY EACH SEMI FINALIST </t>
  </si>
  <si>
    <t>CORRECTLY EACH OF THE  FINALISTS</t>
  </si>
  <si>
    <t xml:space="preserve">morphyhammer@live.co.uk </t>
  </si>
  <si>
    <t>r1whu@hotmail.co.uk</t>
  </si>
  <si>
    <t xml:space="preserve">THE TOP THREE PLACES. </t>
  </si>
  <si>
    <t>FIFA World Cup
Historical Data
1930 - 2014</t>
  </si>
  <si>
    <t>F-A</t>
  </si>
  <si>
    <t>GA</t>
  </si>
  <si>
    <t>GF</t>
  </si>
  <si>
    <t>D</t>
  </si>
  <si>
    <t>W</t>
  </si>
  <si>
    <t>Rank</t>
  </si>
  <si>
    <t>FIFA</t>
  </si>
  <si>
    <t>R</t>
  </si>
  <si>
    <t>Pnt</t>
  </si>
  <si>
    <t>Delta</t>
  </si>
  <si>
    <t>L</t>
  </si>
  <si>
    <t>Team</t>
  </si>
  <si>
    <t>Place</t>
  </si>
  <si>
    <t>Date + Time + GMT</t>
  </si>
  <si>
    <t>Home Page: www.excely.com</t>
  </si>
  <si>
    <t>1ST PLACE….…......….30% OF THE POT</t>
  </si>
  <si>
    <t>CLUB FUNDRAISING…40% OF THE POT</t>
  </si>
  <si>
    <t>Please Return Your Entries By Email To:</t>
  </si>
  <si>
    <t>Shenfield CC (HSBC Brentwood)</t>
  </si>
  <si>
    <t>Only emailed copies will receive updates.</t>
  </si>
  <si>
    <t>Morocco</t>
  </si>
  <si>
    <t>Sort Code: 40-11-60</t>
  </si>
  <si>
    <t>Account No: 91100483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</si>
</sst>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;;;"/>
    <numFmt numFmtId="166" formatCode="h:mm;@"/>
  </numFmts>
  <fonts count="4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9"/>
      <name val="Calibri"/>
      <family val="2"/>
    </font>
    <font>
      <b/>
      <sz val="16"/>
      <name val="Calibri"/>
      <family val="2"/>
    </font>
    <font>
      <u/>
      <sz val="10"/>
      <color indexed="12"/>
      <name val="Arial"/>
      <family val="2"/>
    </font>
    <font>
      <b/>
      <sz val="14"/>
      <color indexed="9"/>
      <name val="Calibri"/>
      <family val="2"/>
      <charset val="204"/>
    </font>
    <font>
      <b/>
      <sz val="14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0"/>
      <color rgb="FF0070C0"/>
      <name val="Arial"/>
      <family val="2"/>
    </font>
    <font>
      <b/>
      <u/>
      <sz val="11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rgb="FF0070C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</font>
    <font>
      <b/>
      <sz val="6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0"/>
      <name val="Calibri"/>
      <family val="2"/>
      <charset val="204"/>
    </font>
    <font>
      <sz val="10"/>
      <color indexed="12"/>
      <name val="Calibri"/>
      <family val="2"/>
      <charset val="204"/>
    </font>
    <font>
      <sz val="16"/>
      <color theme="1"/>
      <name val="Calibri"/>
      <family val="2"/>
      <scheme val="minor"/>
    </font>
    <font>
      <b/>
      <sz val="10"/>
      <color theme="0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sz val="16"/>
      <color theme="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4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36"/>
      <name val="Calibri"/>
      <family val="2"/>
      <charset val="204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0BFD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medium">
        <color indexed="12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</cellStyleXfs>
  <cellXfs count="32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Alignment="1"/>
    <xf numFmtId="0" fontId="0" fillId="0" borderId="12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17" fontId="0" fillId="0" borderId="0" xfId="0" applyNumberFormat="1" applyBorder="1"/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14" borderId="16" xfId="0" applyFont="1" applyFill="1" applyBorder="1" applyAlignment="1">
      <alignment horizontal="center" vertical="center"/>
    </xf>
    <xf numFmtId="0" fontId="26" fillId="10" borderId="15" xfId="0" applyFont="1" applyFill="1" applyBorder="1" applyAlignment="1" applyProtection="1">
      <alignment horizontal="center" vertical="center" wrapText="1"/>
      <protection hidden="1"/>
    </xf>
    <xf numFmtId="164" fontId="23" fillId="0" borderId="14" xfId="0" applyNumberFormat="1" applyFont="1" applyBorder="1" applyAlignment="1">
      <alignment horizontal="left" vertical="center"/>
    </xf>
    <xf numFmtId="164" fontId="23" fillId="0" borderId="14" xfId="0" applyNumberFormat="1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left" vertical="center"/>
    </xf>
    <xf numFmtId="164" fontId="23" fillId="0" borderId="12" xfId="0" applyNumberFormat="1" applyFont="1" applyBorder="1" applyAlignment="1">
      <alignment horizontal="center" vertical="center"/>
    </xf>
    <xf numFmtId="164" fontId="23" fillId="0" borderId="13" xfId="0" applyNumberFormat="1" applyFont="1" applyBorder="1" applyAlignment="1">
      <alignment horizontal="left" vertical="center"/>
    </xf>
    <xf numFmtId="164" fontId="23" fillId="0" borderId="13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20" fontId="23" fillId="0" borderId="14" xfId="0" applyNumberFormat="1" applyFont="1" applyBorder="1" applyAlignment="1">
      <alignment horizontal="center" vertical="center" wrapText="1"/>
    </xf>
    <xf numFmtId="20" fontId="23" fillId="0" borderId="12" xfId="0" applyNumberFormat="1" applyFont="1" applyBorder="1" applyAlignment="1">
      <alignment horizontal="center" vertical="center" wrapText="1"/>
    </xf>
    <xf numFmtId="20" fontId="23" fillId="0" borderId="13" xfId="0" applyNumberFormat="1" applyFont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left" vertical="center"/>
    </xf>
    <xf numFmtId="0" fontId="0" fillId="0" borderId="0" xfId="0" applyAlignment="1" applyProtection="1">
      <alignment vertical="center"/>
      <protection hidden="1"/>
    </xf>
    <xf numFmtId="165" fontId="27" fillId="0" borderId="0" xfId="0" applyNumberFormat="1" applyFont="1" applyAlignment="1" applyProtection="1">
      <alignment vertical="center"/>
      <protection hidden="1"/>
    </xf>
    <xf numFmtId="165" fontId="28" fillId="0" borderId="0" xfId="0" applyNumberFormat="1" applyFont="1" applyAlignment="1" applyProtection="1">
      <alignment vertical="center"/>
      <protection hidden="1"/>
    </xf>
    <xf numFmtId="165" fontId="28" fillId="0" borderId="0" xfId="0" applyNumberFormat="1" applyFont="1" applyAlignment="1" applyProtection="1">
      <alignment horizontal="center" vertical="center"/>
      <protection hidden="1"/>
    </xf>
    <xf numFmtId="165" fontId="28" fillId="0" borderId="0" xfId="0" applyNumberFormat="1" applyFont="1" applyFill="1" applyAlignment="1" applyProtection="1">
      <alignment horizontal="center" vertical="center"/>
      <protection hidden="1"/>
    </xf>
    <xf numFmtId="165" fontId="28" fillId="0" borderId="0" xfId="0" applyNumberFormat="1" applyFont="1" applyFill="1" applyAlignment="1" applyProtection="1">
      <alignment vertical="center"/>
      <protection hidden="1"/>
    </xf>
    <xf numFmtId="165" fontId="28" fillId="0" borderId="0" xfId="0" applyNumberFormat="1" applyFont="1" applyFill="1" applyBorder="1" applyAlignment="1" applyProtection="1">
      <alignment vertical="center"/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Fill="1" applyBorder="1" applyAlignment="1" applyProtection="1">
      <alignment horizontal="left" vertical="center"/>
      <protection hidden="1"/>
    </xf>
    <xf numFmtId="0" fontId="29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166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38" xfId="0" applyBorder="1" applyAlignment="1" applyProtection="1">
      <alignment horizontal="center" vertical="center" shrinkToFit="1"/>
      <protection hidden="1"/>
    </xf>
    <xf numFmtId="0" fontId="0" fillId="0" borderId="39" xfId="0" applyBorder="1" applyAlignment="1" applyProtection="1">
      <alignment horizontal="center" vertical="center" shrinkToFit="1"/>
      <protection hidden="1"/>
    </xf>
    <xf numFmtId="0" fontId="0" fillId="0" borderId="40" xfId="0" applyBorder="1" applyAlignment="1" applyProtection="1">
      <alignment vertical="center" shrinkToFit="1"/>
      <protection hidden="1"/>
    </xf>
    <xf numFmtId="0" fontId="0" fillId="15" borderId="41" xfId="0" applyFill="1" applyBorder="1" applyAlignment="1" applyProtection="1">
      <alignment horizontal="left" vertical="center" indent="3" shrinkToFit="1"/>
      <protection hidden="1"/>
    </xf>
    <xf numFmtId="0" fontId="29" fillId="16" borderId="42" xfId="0" applyFont="1" applyFill="1" applyBorder="1" applyAlignment="1" applyProtection="1">
      <alignment horizontal="center" vertical="center"/>
      <protection locked="0"/>
    </xf>
    <xf numFmtId="0" fontId="29" fillId="16" borderId="43" xfId="0" applyFont="1" applyFill="1" applyBorder="1" applyAlignment="1" applyProtection="1">
      <alignment horizontal="center" vertical="center"/>
      <protection locked="0"/>
    </xf>
    <xf numFmtId="0" fontId="0" fillId="15" borderId="42" xfId="0" applyFill="1" applyBorder="1" applyAlignment="1" applyProtection="1">
      <alignment horizontal="right" vertical="center" indent="3" shrinkToFit="1"/>
      <protection hidden="1"/>
    </xf>
    <xf numFmtId="166" fontId="0" fillId="15" borderId="44" xfId="0" applyNumberFormat="1" applyFill="1" applyBorder="1" applyAlignment="1" applyProtection="1">
      <alignment horizontal="center" vertical="center" shrinkToFit="1"/>
      <protection hidden="1"/>
    </xf>
    <xf numFmtId="0" fontId="0" fillId="15" borderId="45" xfId="0" applyFill="1" applyBorder="1" applyAlignment="1" applyProtection="1">
      <alignment horizontal="center" vertical="center" shrinkToFit="1"/>
      <protection hidden="1"/>
    </xf>
    <xf numFmtId="0" fontId="29" fillId="15" borderId="45" xfId="0" applyFont="1" applyFill="1" applyBorder="1" applyAlignment="1" applyProtection="1">
      <alignment horizontal="center" vertical="center" shrinkToFit="1"/>
      <protection hidden="1"/>
    </xf>
    <xf numFmtId="0" fontId="0" fillId="15" borderId="46" xfId="0" applyFill="1" applyBorder="1" applyAlignment="1" applyProtection="1">
      <alignment horizontal="center" vertical="center" shrinkToFit="1"/>
      <protection hidden="1"/>
    </xf>
    <xf numFmtId="0" fontId="0" fillId="0" borderId="47" xfId="0" applyBorder="1" applyAlignment="1" applyProtection="1">
      <alignment horizontal="center" vertical="center" shrinkToFit="1"/>
      <protection hidden="1"/>
    </xf>
    <xf numFmtId="0" fontId="0" fillId="0" borderId="48" xfId="0" applyBorder="1" applyAlignment="1" applyProtection="1">
      <alignment horizontal="center" vertical="center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15" borderId="50" xfId="0" applyFill="1" applyBorder="1" applyAlignment="1" applyProtection="1">
      <alignment horizontal="left" vertical="center" indent="3" shrinkToFit="1"/>
      <protection hidden="1"/>
    </xf>
    <xf numFmtId="0" fontId="29" fillId="16" borderId="51" xfId="0" applyFont="1" applyFill="1" applyBorder="1" applyAlignment="1" applyProtection="1">
      <alignment horizontal="center" vertical="center"/>
      <protection locked="0"/>
    </xf>
    <xf numFmtId="0" fontId="29" fillId="16" borderId="52" xfId="0" applyFont="1" applyFill="1" applyBorder="1" applyAlignment="1" applyProtection="1">
      <alignment horizontal="center" vertical="center"/>
      <protection locked="0"/>
    </xf>
    <xf numFmtId="0" fontId="0" fillId="15" borderId="51" xfId="0" applyFill="1" applyBorder="1" applyAlignment="1" applyProtection="1">
      <alignment horizontal="right" vertical="center" indent="3" shrinkToFit="1"/>
      <protection hidden="1"/>
    </xf>
    <xf numFmtId="166" fontId="0" fillId="15" borderId="53" xfId="0" applyNumberFormat="1" applyFill="1" applyBorder="1" applyAlignment="1" applyProtection="1">
      <alignment horizontal="center" vertical="center" shrinkToFit="1"/>
      <protection hidden="1"/>
    </xf>
    <xf numFmtId="0" fontId="0" fillId="15" borderId="54" xfId="0" applyFill="1" applyBorder="1" applyAlignment="1" applyProtection="1">
      <alignment horizontal="center" vertical="center" shrinkToFit="1"/>
      <protection hidden="1"/>
    </xf>
    <xf numFmtId="0" fontId="29" fillId="15" borderId="54" xfId="0" applyFont="1" applyFill="1" applyBorder="1" applyAlignment="1" applyProtection="1">
      <alignment horizontal="center" vertical="center" shrinkToFit="1"/>
      <protection hidden="1"/>
    </xf>
    <xf numFmtId="0" fontId="0" fillId="15" borderId="55" xfId="0" applyFill="1" applyBorder="1" applyAlignment="1" applyProtection="1">
      <alignment horizontal="center" vertical="center" shrinkToFit="1"/>
      <protection hidden="1"/>
    </xf>
    <xf numFmtId="0" fontId="0" fillId="0" borderId="61" xfId="0" applyBorder="1" applyAlignment="1" applyProtection="1">
      <alignment horizontal="center" vertical="center" shrinkToFit="1"/>
      <protection hidden="1"/>
    </xf>
    <xf numFmtId="0" fontId="0" fillId="0" borderId="62" xfId="0" applyBorder="1" applyAlignment="1" applyProtection="1">
      <alignment horizontal="center" vertical="center" shrinkToFit="1"/>
      <protection hidden="1"/>
    </xf>
    <xf numFmtId="0" fontId="0" fillId="0" borderId="63" xfId="0" applyBorder="1" applyAlignment="1" applyProtection="1">
      <alignment vertical="center" shrinkToFit="1"/>
      <protection hidden="1"/>
    </xf>
    <xf numFmtId="0" fontId="32" fillId="18" borderId="64" xfId="0" applyFont="1" applyFill="1" applyBorder="1" applyAlignment="1" applyProtection="1">
      <alignment horizontal="center" vertical="center" shrinkToFit="1"/>
      <protection hidden="1"/>
    </xf>
    <xf numFmtId="0" fontId="32" fillId="18" borderId="65" xfId="0" applyFont="1" applyFill="1" applyBorder="1" applyAlignment="1" applyProtection="1">
      <alignment horizontal="center" vertical="center" shrinkToFit="1"/>
      <protection hidden="1"/>
    </xf>
    <xf numFmtId="0" fontId="32" fillId="18" borderId="66" xfId="0" applyFont="1" applyFill="1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vertical="center"/>
      <protection hidden="1"/>
    </xf>
    <xf numFmtId="0" fontId="0" fillId="15" borderId="0" xfId="0" applyFill="1" applyAlignment="1" applyProtection="1">
      <alignment vertical="center"/>
      <protection hidden="1"/>
    </xf>
    <xf numFmtId="0" fontId="0" fillId="15" borderId="46" xfId="0" applyFill="1" applyBorder="1" applyAlignment="1" applyProtection="1">
      <alignment horizontal="left" vertical="center" shrinkToFit="1"/>
      <protection hidden="1"/>
    </xf>
    <xf numFmtId="0" fontId="0" fillId="15" borderId="72" xfId="0" applyFill="1" applyBorder="1" applyAlignment="1" applyProtection="1">
      <alignment vertical="center"/>
      <protection hidden="1"/>
    </xf>
    <xf numFmtId="0" fontId="29" fillId="16" borderId="73" xfId="0" applyFont="1" applyFill="1" applyBorder="1" applyAlignment="1" applyProtection="1">
      <alignment horizontal="center" vertical="center"/>
      <protection locked="0"/>
    </xf>
    <xf numFmtId="0" fontId="29" fillId="16" borderId="74" xfId="0" applyFont="1" applyFill="1" applyBorder="1" applyAlignment="1" applyProtection="1">
      <alignment horizontal="center" vertical="center"/>
      <protection locked="0"/>
    </xf>
    <xf numFmtId="0" fontId="0" fillId="15" borderId="75" xfId="0" applyFill="1" applyBorder="1" applyAlignment="1" applyProtection="1">
      <alignment horizontal="left" vertical="center" shrinkToFit="1"/>
      <protection hidden="1"/>
    </xf>
    <xf numFmtId="0" fontId="0" fillId="15" borderId="77" xfId="0" applyFill="1" applyBorder="1" applyAlignment="1" applyProtection="1">
      <alignment vertical="center"/>
      <protection hidden="1"/>
    </xf>
    <xf numFmtId="0" fontId="0" fillId="15" borderId="78" xfId="0" applyFill="1" applyBorder="1" applyAlignment="1" applyProtection="1">
      <alignment vertical="center"/>
      <protection hidden="1"/>
    </xf>
    <xf numFmtId="0" fontId="29" fillId="15" borderId="0" xfId="0" applyFont="1" applyFill="1" applyBorder="1" applyAlignment="1" applyProtection="1">
      <alignment horizontal="right" vertical="center"/>
      <protection hidden="1"/>
    </xf>
    <xf numFmtId="0" fontId="0" fillId="15" borderId="79" xfId="0" applyFill="1" applyBorder="1" applyAlignment="1" applyProtection="1">
      <alignment vertical="center"/>
      <protection hidden="1"/>
    </xf>
    <xf numFmtId="0" fontId="0" fillId="15" borderId="0" xfId="0" applyFill="1" applyBorder="1" applyAlignment="1" applyProtection="1">
      <alignment vertical="center"/>
      <protection hidden="1"/>
    </xf>
    <xf numFmtId="0" fontId="0" fillId="15" borderId="0" xfId="0" applyFill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15" borderId="80" xfId="0" applyFill="1" applyBorder="1" applyAlignment="1" applyProtection="1">
      <alignment vertical="center"/>
      <protection hidden="1"/>
    </xf>
    <xf numFmtId="0" fontId="29" fillId="15" borderId="81" xfId="0" applyFont="1" applyFill="1" applyBorder="1" applyAlignment="1" applyProtection="1">
      <alignment horizontal="right" vertical="center"/>
      <protection hidden="1"/>
    </xf>
    <xf numFmtId="0" fontId="0" fillId="15" borderId="82" xfId="0" applyFill="1" applyBorder="1" applyAlignment="1" applyProtection="1">
      <alignment horizontal="left" vertical="center" indent="3" shrinkToFit="1"/>
      <protection hidden="1"/>
    </xf>
    <xf numFmtId="0" fontId="29" fillId="16" borderId="83" xfId="0" applyFont="1" applyFill="1" applyBorder="1" applyAlignment="1" applyProtection="1">
      <alignment horizontal="center" vertical="center"/>
      <protection locked="0"/>
    </xf>
    <xf numFmtId="0" fontId="29" fillId="16" borderId="84" xfId="0" applyFont="1" applyFill="1" applyBorder="1" applyAlignment="1" applyProtection="1">
      <alignment horizontal="center" vertical="center"/>
      <protection locked="0"/>
    </xf>
    <xf numFmtId="0" fontId="0" fillId="15" borderId="83" xfId="0" applyFont="1" applyFill="1" applyBorder="1" applyAlignment="1" applyProtection="1">
      <alignment horizontal="right" vertical="center" indent="3" shrinkToFit="1"/>
      <protection hidden="1"/>
    </xf>
    <xf numFmtId="166" fontId="0" fillId="15" borderId="85" xfId="0" applyNumberFormat="1" applyFill="1" applyBorder="1" applyAlignment="1" applyProtection="1">
      <alignment horizontal="center" vertical="center" shrinkToFit="1"/>
      <protection hidden="1"/>
    </xf>
    <xf numFmtId="0" fontId="0" fillId="15" borderId="86" xfId="0" applyFill="1" applyBorder="1" applyAlignment="1" applyProtection="1">
      <alignment horizontal="center" vertical="center" shrinkToFit="1"/>
      <protection hidden="1"/>
    </xf>
    <xf numFmtId="0" fontId="29" fillId="15" borderId="86" xfId="0" applyFont="1" applyFill="1" applyBorder="1" applyAlignment="1" applyProtection="1">
      <alignment horizontal="center" vertical="center" shrinkToFit="1"/>
      <protection hidden="1"/>
    </xf>
    <xf numFmtId="0" fontId="0" fillId="15" borderId="87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42" fillId="14" borderId="14" xfId="0" applyFont="1" applyFill="1" applyBorder="1" applyAlignment="1">
      <alignment horizontal="center" vertical="center"/>
    </xf>
    <xf numFmtId="0" fontId="42" fillId="14" borderId="12" xfId="0" applyFont="1" applyFill="1" applyBorder="1" applyAlignment="1">
      <alignment horizontal="center" vertical="center"/>
    </xf>
    <xf numFmtId="0" fontId="42" fillId="14" borderId="13" xfId="0" applyFont="1" applyFill="1" applyBorder="1" applyAlignment="1">
      <alignment horizontal="center" vertical="center"/>
    </xf>
    <xf numFmtId="0" fontId="42" fillId="14" borderId="6" xfId="0" applyFont="1" applyFill="1" applyBorder="1" applyAlignment="1">
      <alignment horizontal="center" vertical="center" wrapText="1"/>
    </xf>
    <xf numFmtId="0" fontId="42" fillId="14" borderId="11" xfId="0" applyFont="1" applyFill="1" applyBorder="1" applyAlignment="1">
      <alignment horizontal="center" vertical="center" wrapText="1"/>
    </xf>
    <xf numFmtId="0" fontId="42" fillId="14" borderId="3" xfId="0" applyFont="1" applyFill="1" applyBorder="1" applyAlignment="1">
      <alignment horizontal="center" vertical="center" wrapText="1"/>
    </xf>
    <xf numFmtId="0" fontId="42" fillId="14" borderId="4" xfId="0" applyFont="1" applyFill="1" applyBorder="1" applyAlignment="1">
      <alignment horizontal="center" vertical="center"/>
    </xf>
    <xf numFmtId="0" fontId="42" fillId="14" borderId="1" xfId="0" applyFont="1" applyFill="1" applyBorder="1" applyAlignment="1">
      <alignment horizontal="center" vertical="center"/>
    </xf>
    <xf numFmtId="0" fontId="42" fillId="14" borderId="9" xfId="0" applyFont="1" applyFill="1" applyBorder="1" applyAlignment="1">
      <alignment horizontal="center" vertical="center"/>
    </xf>
    <xf numFmtId="17" fontId="42" fillId="14" borderId="5" xfId="0" applyNumberFormat="1" applyFont="1" applyFill="1" applyBorder="1" applyAlignment="1">
      <alignment horizontal="center" vertical="center"/>
    </xf>
    <xf numFmtId="17" fontId="42" fillId="14" borderId="10" xfId="0" applyNumberFormat="1" applyFont="1" applyFill="1" applyBorder="1" applyAlignment="1">
      <alignment horizontal="center" vertical="center"/>
    </xf>
    <xf numFmtId="0" fontId="42" fillId="14" borderId="10" xfId="0" applyFont="1" applyFill="1" applyBorder="1" applyAlignment="1">
      <alignment horizontal="center" vertical="center"/>
    </xf>
    <xf numFmtId="0" fontId="42" fillId="14" borderId="5" xfId="0" applyFont="1" applyFill="1" applyBorder="1" applyAlignment="1">
      <alignment horizontal="center" vertical="center"/>
    </xf>
    <xf numFmtId="0" fontId="42" fillId="14" borderId="14" xfId="0" applyFont="1" applyFill="1" applyBorder="1" applyAlignment="1">
      <alignment horizontal="center" vertical="center" wrapText="1"/>
    </xf>
    <xf numFmtId="0" fontId="42" fillId="14" borderId="13" xfId="0" applyFont="1" applyFill="1" applyBorder="1" applyAlignment="1">
      <alignment horizontal="center" vertical="center" wrapText="1"/>
    </xf>
    <xf numFmtId="0" fontId="42" fillId="11" borderId="30" xfId="0" applyFont="1" applyFill="1" applyBorder="1" applyAlignment="1">
      <alignment horizontal="center" vertical="center"/>
    </xf>
    <xf numFmtId="0" fontId="42" fillId="11" borderId="0" xfId="0" applyFont="1" applyFill="1" applyBorder="1" applyAlignment="1">
      <alignment horizontal="center" vertical="center"/>
    </xf>
    <xf numFmtId="0" fontId="42" fillId="14" borderId="3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2" fillId="9" borderId="32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22" fillId="9" borderId="3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3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12" fillId="6" borderId="28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29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17" fillId="6" borderId="29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29" xfId="0" applyFont="1" applyFill="1" applyBorder="1" applyAlignment="1">
      <alignment horizontal="left" vertical="center" wrapText="1"/>
    </xf>
    <xf numFmtId="0" fontId="21" fillId="6" borderId="21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2" fillId="6" borderId="21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2" fillId="6" borderId="22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9" fillId="6" borderId="28" xfId="1" applyFill="1" applyBorder="1" applyAlignment="1" applyProtection="1">
      <alignment horizontal="left" vertical="center" wrapText="1"/>
    </xf>
    <xf numFmtId="0" fontId="20" fillId="6" borderId="0" xfId="1" applyFont="1" applyFill="1" applyBorder="1" applyAlignment="1" applyProtection="1">
      <alignment horizontal="left" vertical="center" wrapText="1"/>
    </xf>
    <xf numFmtId="0" fontId="20" fillId="6" borderId="29" xfId="1" applyFont="1" applyFill="1" applyBorder="1" applyAlignment="1" applyProtection="1">
      <alignment horizontal="lef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9" fillId="6" borderId="28" xfId="1" applyFont="1" applyFill="1" applyBorder="1" applyAlignment="1" applyProtection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9" fillId="6" borderId="29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6" fillId="6" borderId="0" xfId="0" applyFont="1" applyFill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6" fillId="6" borderId="29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10" fillId="10" borderId="16" xfId="0" applyFont="1" applyFill="1" applyBorder="1" applyAlignment="1" applyProtection="1">
      <alignment horizontal="center" vertical="center" wrapText="1"/>
      <protection hidden="1"/>
    </xf>
    <xf numFmtId="0" fontId="7" fillId="10" borderId="16" xfId="0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2" fillId="6" borderId="28" xfId="1" applyFont="1" applyFill="1" applyBorder="1" applyAlignment="1" applyProtection="1">
      <alignment horizontal="left" vertical="center" wrapText="1"/>
    </xf>
    <xf numFmtId="0" fontId="12" fillId="6" borderId="0" xfId="1" applyFont="1" applyFill="1" applyBorder="1" applyAlignment="1" applyProtection="1">
      <alignment horizontal="left" vertical="center" wrapText="1"/>
    </xf>
    <xf numFmtId="0" fontId="12" fillId="6" borderId="29" xfId="1" applyFont="1" applyFill="1" applyBorder="1" applyAlignment="1" applyProtection="1">
      <alignment horizontal="left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5" fillId="6" borderId="29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 wrapText="1"/>
    </xf>
    <xf numFmtId="0" fontId="15" fillId="6" borderId="29" xfId="0" applyFont="1" applyFill="1" applyBorder="1" applyAlignment="1">
      <alignment horizontal="left" vertical="center" wrapText="1"/>
    </xf>
    <xf numFmtId="0" fontId="36" fillId="18" borderId="69" xfId="0" applyFont="1" applyFill="1" applyBorder="1" applyAlignment="1" applyProtection="1">
      <alignment horizontal="center" vertical="center"/>
      <protection hidden="1"/>
    </xf>
    <xf numFmtId="0" fontId="36" fillId="18" borderId="68" xfId="0" applyFont="1" applyFill="1" applyBorder="1" applyAlignment="1" applyProtection="1">
      <alignment horizontal="center" vertical="center"/>
      <protection hidden="1"/>
    </xf>
    <xf numFmtId="0" fontId="36" fillId="18" borderId="67" xfId="0" applyFont="1" applyFill="1" applyBorder="1" applyAlignment="1" applyProtection="1">
      <alignment horizontal="center" vertical="center"/>
      <protection hidden="1"/>
    </xf>
    <xf numFmtId="0" fontId="36" fillId="18" borderId="58" xfId="0" applyFont="1" applyFill="1" applyBorder="1" applyAlignment="1" applyProtection="1">
      <alignment horizontal="center" vertical="center"/>
      <protection hidden="1"/>
    </xf>
    <xf numFmtId="0" fontId="36" fillId="18" borderId="57" xfId="0" applyFont="1" applyFill="1" applyBorder="1" applyAlignment="1" applyProtection="1">
      <alignment horizontal="center" vertical="center"/>
      <protection hidden="1"/>
    </xf>
    <xf numFmtId="0" fontId="36" fillId="18" borderId="56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Alignment="1" applyProtection="1">
      <alignment horizontal="center" vertical="center" shrinkToFit="1"/>
      <protection hidden="1"/>
    </xf>
    <xf numFmtId="0" fontId="40" fillId="0" borderId="0" xfId="2" applyFont="1" applyAlignment="1" applyProtection="1">
      <alignment horizontal="right"/>
      <protection hidden="1"/>
    </xf>
    <xf numFmtId="0" fontId="39" fillId="18" borderId="94" xfId="0" applyFont="1" applyFill="1" applyBorder="1" applyAlignment="1" applyProtection="1">
      <alignment horizontal="center" vertical="center"/>
      <protection hidden="1"/>
    </xf>
    <xf numFmtId="0" fontId="39" fillId="18" borderId="93" xfId="0" applyFont="1" applyFill="1" applyBorder="1" applyAlignment="1" applyProtection="1">
      <alignment horizontal="center" vertical="center"/>
      <protection hidden="1"/>
    </xf>
    <xf numFmtId="0" fontId="39" fillId="18" borderId="95" xfId="0" applyFont="1" applyFill="1" applyBorder="1" applyAlignment="1" applyProtection="1">
      <alignment horizontal="center" vertical="center"/>
      <protection hidden="1"/>
    </xf>
    <xf numFmtId="0" fontId="39" fillId="18" borderId="90" xfId="0" applyFont="1" applyFill="1" applyBorder="1" applyAlignment="1" applyProtection="1">
      <alignment horizontal="center" vertical="center"/>
      <protection hidden="1"/>
    </xf>
    <xf numFmtId="0" fontId="39" fillId="18" borderId="89" xfId="0" applyFont="1" applyFill="1" applyBorder="1" applyAlignment="1" applyProtection="1">
      <alignment horizontal="center" vertical="center"/>
      <protection hidden="1"/>
    </xf>
    <xf numFmtId="0" fontId="39" fillId="18" borderId="91" xfId="0" applyFont="1" applyFill="1" applyBorder="1" applyAlignment="1" applyProtection="1">
      <alignment horizontal="center" vertical="center"/>
      <protection hidden="1"/>
    </xf>
    <xf numFmtId="0" fontId="38" fillId="17" borderId="94" xfId="2" applyFont="1" applyFill="1" applyBorder="1" applyAlignment="1" applyProtection="1">
      <alignment horizontal="center" vertical="center"/>
      <protection hidden="1"/>
    </xf>
    <xf numFmtId="0" fontId="38" fillId="17" borderId="93" xfId="2" applyFont="1" applyFill="1" applyBorder="1" applyAlignment="1" applyProtection="1">
      <alignment horizontal="center" vertical="center"/>
      <protection hidden="1"/>
    </xf>
    <xf numFmtId="0" fontId="38" fillId="17" borderId="92" xfId="2" applyFont="1" applyFill="1" applyBorder="1" applyAlignment="1" applyProtection="1">
      <alignment horizontal="center" vertical="center"/>
      <protection hidden="1"/>
    </xf>
    <xf numFmtId="0" fontId="38" fillId="17" borderId="90" xfId="2" applyFont="1" applyFill="1" applyBorder="1" applyAlignment="1" applyProtection="1">
      <alignment horizontal="center" vertical="center"/>
      <protection hidden="1"/>
    </xf>
    <xf numFmtId="0" fontId="38" fillId="17" borderId="89" xfId="2" applyFont="1" applyFill="1" applyBorder="1" applyAlignment="1" applyProtection="1">
      <alignment horizontal="center" vertical="center"/>
      <protection hidden="1"/>
    </xf>
    <xf numFmtId="0" fontId="38" fillId="17" borderId="88" xfId="2" applyFont="1" applyFill="1" applyBorder="1" applyAlignment="1" applyProtection="1">
      <alignment horizontal="center" vertical="center"/>
      <protection hidden="1"/>
    </xf>
    <xf numFmtId="0" fontId="0" fillId="15" borderId="76" xfId="0" applyFill="1" applyBorder="1" applyAlignment="1" applyProtection="1">
      <alignment horizontal="center" vertical="center"/>
      <protection hidden="1"/>
    </xf>
    <xf numFmtId="0" fontId="0" fillId="15" borderId="71" xfId="0" applyFill="1" applyBorder="1" applyAlignment="1" applyProtection="1">
      <alignment horizontal="center" vertical="center"/>
      <protection hidden="1"/>
    </xf>
    <xf numFmtId="0" fontId="31" fillId="17" borderId="69" xfId="0" applyFont="1" applyFill="1" applyBorder="1" applyAlignment="1" applyProtection="1">
      <alignment horizontal="center" vertical="center" wrapText="1"/>
      <protection hidden="1"/>
    </xf>
    <xf numFmtId="0" fontId="31" fillId="17" borderId="68" xfId="0" applyFont="1" applyFill="1" applyBorder="1" applyAlignment="1" applyProtection="1">
      <alignment horizontal="center" vertical="center" wrapText="1"/>
      <protection hidden="1"/>
    </xf>
    <xf numFmtId="0" fontId="31" fillId="17" borderId="67" xfId="0" applyFont="1" applyFill="1" applyBorder="1" applyAlignment="1" applyProtection="1">
      <alignment horizontal="center" vertical="center" wrapText="1"/>
      <protection hidden="1"/>
    </xf>
    <xf numFmtId="0" fontId="31" fillId="17" borderId="60" xfId="0" applyFont="1" applyFill="1" applyBorder="1" applyAlignment="1" applyProtection="1">
      <alignment horizontal="center" vertical="center" wrapText="1"/>
      <protection hidden="1"/>
    </xf>
    <xf numFmtId="0" fontId="31" fillId="17" borderId="0" xfId="0" applyFont="1" applyFill="1" applyBorder="1" applyAlignment="1" applyProtection="1">
      <alignment horizontal="center" vertical="center" wrapText="1"/>
      <protection hidden="1"/>
    </xf>
    <xf numFmtId="0" fontId="31" fillId="17" borderId="59" xfId="0" applyFont="1" applyFill="1" applyBorder="1" applyAlignment="1" applyProtection="1">
      <alignment horizontal="center" vertical="center" wrapText="1"/>
      <protection hidden="1"/>
    </xf>
    <xf numFmtId="0" fontId="31" fillId="17" borderId="58" xfId="0" applyFont="1" applyFill="1" applyBorder="1" applyAlignment="1" applyProtection="1">
      <alignment horizontal="center" vertical="center" wrapText="1"/>
      <protection hidden="1"/>
    </xf>
    <xf numFmtId="0" fontId="31" fillId="17" borderId="57" xfId="0" applyFont="1" applyFill="1" applyBorder="1" applyAlignment="1" applyProtection="1">
      <alignment horizontal="center" vertical="center" wrapText="1"/>
      <protection hidden="1"/>
    </xf>
    <xf numFmtId="0" fontId="31" fillId="17" borderId="56" xfId="0" applyFont="1" applyFill="1" applyBorder="1" applyAlignment="1" applyProtection="1">
      <alignment horizontal="center" vertical="center" wrapText="1"/>
      <protection hidden="1"/>
    </xf>
    <xf numFmtId="0" fontId="34" fillId="0" borderId="70" xfId="0" applyFont="1" applyBorder="1" applyAlignment="1" applyProtection="1">
      <alignment horizontal="center" vertical="center" shrinkToFit="1"/>
      <protection hidden="1"/>
    </xf>
    <xf numFmtId="0" fontId="34" fillId="0" borderId="0" xfId="0" applyFont="1" applyBorder="1" applyAlignment="1" applyProtection="1">
      <alignment horizontal="center" vertical="center" shrinkToFit="1"/>
      <protection hidden="1"/>
    </xf>
    <xf numFmtId="0" fontId="33" fillId="0" borderId="70" xfId="0" applyFont="1" applyBorder="1" applyAlignment="1" applyProtection="1">
      <alignment horizontal="center" vertical="center" shrinkToFit="1"/>
      <protection hidden="1"/>
    </xf>
    <xf numFmtId="0" fontId="33" fillId="0" borderId="0" xfId="0" applyFont="1" applyBorder="1" applyAlignment="1" applyProtection="1">
      <alignment horizontal="center" vertical="center" shrinkToFit="1"/>
      <protection hidden="1"/>
    </xf>
    <xf numFmtId="0" fontId="35" fillId="19" borderId="69" xfId="0" applyFont="1" applyFill="1" applyBorder="1" applyAlignment="1" applyProtection="1">
      <alignment horizontal="center" vertical="center"/>
      <protection hidden="1"/>
    </xf>
    <xf numFmtId="0" fontId="35" fillId="19" borderId="68" xfId="0" applyFont="1" applyFill="1" applyBorder="1" applyAlignment="1" applyProtection="1">
      <alignment horizontal="center" vertical="center"/>
      <protection hidden="1"/>
    </xf>
    <xf numFmtId="0" fontId="35" fillId="19" borderId="67" xfId="0" applyFont="1" applyFill="1" applyBorder="1" applyAlignment="1" applyProtection="1">
      <alignment horizontal="center" vertical="center"/>
      <protection hidden="1"/>
    </xf>
    <xf numFmtId="0" fontId="35" fillId="19" borderId="58" xfId="0" applyFont="1" applyFill="1" applyBorder="1" applyAlignment="1" applyProtection="1">
      <alignment horizontal="center" vertical="center"/>
      <protection hidden="1"/>
    </xf>
    <xf numFmtId="0" fontId="35" fillId="19" borderId="57" xfId="0" applyFont="1" applyFill="1" applyBorder="1" applyAlignment="1" applyProtection="1">
      <alignment horizontal="center" vertical="center"/>
      <protection hidden="1"/>
    </xf>
    <xf numFmtId="0" fontId="35" fillId="19" borderId="56" xfId="0" applyFont="1" applyFill="1" applyBorder="1" applyAlignment="1" applyProtection="1">
      <alignment horizontal="center" vertical="center"/>
      <protection hidden="1"/>
    </xf>
  </cellXfs>
  <cellStyles count="3">
    <cellStyle name="Hyperlink" xfId="1" builtinId="8"/>
    <cellStyle name="Hyperlink 2" xfId="2"/>
    <cellStyle name="Normal" xfId="0" builtinId="0"/>
  </cellStyles>
  <dxfs count="10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DDFFDD"/>
      <color rgb="FFCCFFCC"/>
      <color rgb="FF66FF66"/>
      <color rgb="FF70BFD2"/>
      <color rgb="FFDC9F9C"/>
      <color rgb="FF90FEAA"/>
      <color rgb="FFCC99FF"/>
      <color rgb="FFFFCC99"/>
      <color rgb="FFC0C0C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1260929</xdr:colOff>
      <xdr:row>6</xdr:row>
      <xdr:rowOff>22678</xdr:rowOff>
    </xdr:from>
    <xdr:ext cx="231322" cy="154215"/>
    <xdr:pic>
      <xdr:nvPicPr>
        <xdr:cNvPr id="2" name="Picture 1">
          <a:extLst>
            <a:ext uri="{FF2B5EF4-FFF2-40B4-BE49-F238E27FC236}">
              <a16:creationId xmlns=""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9" y="1165678"/>
          <a:ext cx="231322" cy="154215"/>
        </a:xfrm>
        <a:prstGeom prst="rect">
          <a:avLst/>
        </a:prstGeom>
      </xdr:spPr>
    </xdr:pic>
    <xdr:clientData/>
  </xdr:oneCellAnchor>
  <xdr:oneCellAnchor>
    <xdr:from>
      <xdr:col>4</xdr:col>
      <xdr:colOff>1260928</xdr:colOff>
      <xdr:row>22</xdr:row>
      <xdr:rowOff>18143</xdr:rowOff>
    </xdr:from>
    <xdr:ext cx="231322" cy="154215"/>
    <xdr:pic>
      <xdr:nvPicPr>
        <xdr:cNvPr id="3" name="Picture 2">
          <a:extLst>
            <a:ext uri="{FF2B5EF4-FFF2-40B4-BE49-F238E27FC236}">
              <a16:creationId xmlns=""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8" y="4209143"/>
          <a:ext cx="231322" cy="154215"/>
        </a:xfrm>
        <a:prstGeom prst="rect">
          <a:avLst/>
        </a:prstGeom>
      </xdr:spPr>
    </xdr:pic>
    <xdr:clientData/>
  </xdr:oneCellAnchor>
  <xdr:oneCellAnchor>
    <xdr:from>
      <xdr:col>7</xdr:col>
      <xdr:colOff>22679</xdr:colOff>
      <xdr:row>38</xdr:row>
      <xdr:rowOff>18143</xdr:rowOff>
    </xdr:from>
    <xdr:ext cx="231322" cy="154215"/>
    <xdr:pic>
      <xdr:nvPicPr>
        <xdr:cNvPr id="4" name="Picture 3">
          <a:extLst>
            <a:ext uri="{FF2B5EF4-FFF2-40B4-BE49-F238E27FC236}">
              <a16:creationId xmlns=""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9" y="7257143"/>
          <a:ext cx="231322" cy="154215"/>
        </a:xfrm>
        <a:prstGeom prst="rect">
          <a:avLst/>
        </a:prstGeom>
      </xdr:spPr>
    </xdr:pic>
    <xdr:clientData/>
  </xdr:oneCellAnchor>
  <xdr:oneCellAnchor>
    <xdr:from>
      <xdr:col>7</xdr:col>
      <xdr:colOff>22678</xdr:colOff>
      <xdr:row>6</xdr:row>
      <xdr:rowOff>22679</xdr:rowOff>
    </xdr:from>
    <xdr:ext cx="228600" cy="155448"/>
    <xdr:pic>
      <xdr:nvPicPr>
        <xdr:cNvPr id="5" name="Picture 4">
          <a:extLst>
            <a:ext uri="{FF2B5EF4-FFF2-40B4-BE49-F238E27FC236}">
              <a16:creationId xmlns=""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8" y="11656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22678</xdr:colOff>
      <xdr:row>23</xdr:row>
      <xdr:rowOff>22679</xdr:rowOff>
    </xdr:from>
    <xdr:ext cx="228600" cy="155448"/>
    <xdr:pic>
      <xdr:nvPicPr>
        <xdr:cNvPr id="6" name="Picture 5">
          <a:extLst>
            <a:ext uri="{FF2B5EF4-FFF2-40B4-BE49-F238E27FC236}">
              <a16:creationId xmlns=""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8" y="4404179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1260928</xdr:colOff>
      <xdr:row>39</xdr:row>
      <xdr:rowOff>22678</xdr:rowOff>
    </xdr:from>
    <xdr:ext cx="228600" cy="155448"/>
    <xdr:pic>
      <xdr:nvPicPr>
        <xdr:cNvPr id="7" name="Picture 6">
          <a:extLst>
            <a:ext uri="{FF2B5EF4-FFF2-40B4-BE49-F238E27FC236}">
              <a16:creationId xmlns=""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8" y="7452178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1260929</xdr:colOff>
      <xdr:row>7</xdr:row>
      <xdr:rowOff>22678</xdr:rowOff>
    </xdr:from>
    <xdr:ext cx="228600" cy="155448"/>
    <xdr:pic>
      <xdr:nvPicPr>
        <xdr:cNvPr id="8" name="Picture 7">
          <a:extLst>
            <a:ext uri="{FF2B5EF4-FFF2-40B4-BE49-F238E27FC236}">
              <a16:creationId xmlns=""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9" y="1356178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27214</xdr:colOff>
      <xdr:row>22</xdr:row>
      <xdr:rowOff>22679</xdr:rowOff>
    </xdr:from>
    <xdr:ext cx="228600" cy="155448"/>
    <xdr:pic>
      <xdr:nvPicPr>
        <xdr:cNvPr id="9" name="Picture 8">
          <a:extLst>
            <a:ext uri="{FF2B5EF4-FFF2-40B4-BE49-F238E27FC236}">
              <a16:creationId xmlns=""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414" y="42136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22678</xdr:colOff>
      <xdr:row>39</xdr:row>
      <xdr:rowOff>22678</xdr:rowOff>
    </xdr:from>
    <xdr:ext cx="228600" cy="155448"/>
    <xdr:pic>
      <xdr:nvPicPr>
        <xdr:cNvPr id="10" name="Picture 9">
          <a:extLst>
            <a:ext uri="{FF2B5EF4-FFF2-40B4-BE49-F238E27FC236}">
              <a16:creationId xmlns=""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8" y="7452178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18142</xdr:colOff>
      <xdr:row>7</xdr:row>
      <xdr:rowOff>31750</xdr:rowOff>
    </xdr:from>
    <xdr:ext cx="228600" cy="155448"/>
    <xdr:pic>
      <xdr:nvPicPr>
        <xdr:cNvPr id="11" name="Picture 10">
          <a:extLst>
            <a:ext uri="{FF2B5EF4-FFF2-40B4-BE49-F238E27FC236}">
              <a16:creationId xmlns=""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2" y="13652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1260928</xdr:colOff>
      <xdr:row>23</xdr:row>
      <xdr:rowOff>36285</xdr:rowOff>
    </xdr:from>
    <xdr:ext cx="228600" cy="155448"/>
    <xdr:pic>
      <xdr:nvPicPr>
        <xdr:cNvPr id="12" name="Picture 11">
          <a:extLst>
            <a:ext uri="{FF2B5EF4-FFF2-40B4-BE49-F238E27FC236}">
              <a16:creationId xmlns=""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8" y="4417785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1260928</xdr:colOff>
      <xdr:row>38</xdr:row>
      <xdr:rowOff>27214</xdr:rowOff>
    </xdr:from>
    <xdr:ext cx="228600" cy="155448"/>
    <xdr:pic>
      <xdr:nvPicPr>
        <xdr:cNvPr id="13" name="Picture 12">
          <a:extLst>
            <a:ext uri="{FF2B5EF4-FFF2-40B4-BE49-F238E27FC236}">
              <a16:creationId xmlns=""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8" y="7266214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1260929</xdr:colOff>
      <xdr:row>8</xdr:row>
      <xdr:rowOff>22679</xdr:rowOff>
    </xdr:from>
    <xdr:ext cx="228600" cy="155448"/>
    <xdr:pic>
      <xdr:nvPicPr>
        <xdr:cNvPr id="14" name="Picture 13">
          <a:extLst>
            <a:ext uri="{FF2B5EF4-FFF2-40B4-BE49-F238E27FC236}">
              <a16:creationId xmlns=""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9" y="1546679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1260929</xdr:colOff>
      <xdr:row>24</xdr:row>
      <xdr:rowOff>22679</xdr:rowOff>
    </xdr:from>
    <xdr:ext cx="228600" cy="155448"/>
    <xdr:pic>
      <xdr:nvPicPr>
        <xdr:cNvPr id="15" name="Picture 14">
          <a:extLst>
            <a:ext uri="{FF2B5EF4-FFF2-40B4-BE49-F238E27FC236}">
              <a16:creationId xmlns=""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9" y="45946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22679</xdr:colOff>
      <xdr:row>40</xdr:row>
      <xdr:rowOff>22678</xdr:rowOff>
    </xdr:from>
    <xdr:ext cx="228600" cy="155448"/>
    <xdr:pic>
      <xdr:nvPicPr>
        <xdr:cNvPr id="16" name="Picture 15">
          <a:extLst>
            <a:ext uri="{FF2B5EF4-FFF2-40B4-BE49-F238E27FC236}">
              <a16:creationId xmlns=""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9" y="7642678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18143</xdr:colOff>
      <xdr:row>8</xdr:row>
      <xdr:rowOff>22678</xdr:rowOff>
    </xdr:from>
    <xdr:ext cx="228600" cy="155448"/>
    <xdr:pic>
      <xdr:nvPicPr>
        <xdr:cNvPr id="17" name="Picture 16">
          <a:extLst>
            <a:ext uri="{FF2B5EF4-FFF2-40B4-BE49-F238E27FC236}">
              <a16:creationId xmlns=""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3" y="1546678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22679</xdr:colOff>
      <xdr:row>25</xdr:row>
      <xdr:rowOff>27214</xdr:rowOff>
    </xdr:from>
    <xdr:ext cx="228600" cy="155448"/>
    <xdr:pic>
      <xdr:nvPicPr>
        <xdr:cNvPr id="18" name="Picture 17">
          <a:extLst>
            <a:ext uri="{FF2B5EF4-FFF2-40B4-BE49-F238E27FC236}">
              <a16:creationId xmlns=""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9" y="4789714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1256393</xdr:colOff>
      <xdr:row>41</xdr:row>
      <xdr:rowOff>22679</xdr:rowOff>
    </xdr:from>
    <xdr:ext cx="228600" cy="155448"/>
    <xdr:pic>
      <xdr:nvPicPr>
        <xdr:cNvPr id="19" name="Picture 18">
          <a:extLst>
            <a:ext uri="{FF2B5EF4-FFF2-40B4-BE49-F238E27FC236}">
              <a16:creationId xmlns=""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093" y="78331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18143</xdr:colOff>
      <xdr:row>41</xdr:row>
      <xdr:rowOff>27214</xdr:rowOff>
    </xdr:from>
    <xdr:ext cx="228600" cy="155448"/>
    <xdr:pic>
      <xdr:nvPicPr>
        <xdr:cNvPr id="20" name="Picture 19">
          <a:extLst>
            <a:ext uri="{FF2B5EF4-FFF2-40B4-BE49-F238E27FC236}">
              <a16:creationId xmlns=""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3" y="7837714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22678</xdr:colOff>
      <xdr:row>24</xdr:row>
      <xdr:rowOff>22678</xdr:rowOff>
    </xdr:from>
    <xdr:ext cx="228600" cy="155448"/>
    <xdr:pic>
      <xdr:nvPicPr>
        <xdr:cNvPr id="21" name="Picture 20">
          <a:extLst>
            <a:ext uri="{FF2B5EF4-FFF2-40B4-BE49-F238E27FC236}">
              <a16:creationId xmlns=""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8" y="4594678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1260929</xdr:colOff>
      <xdr:row>9</xdr:row>
      <xdr:rowOff>18143</xdr:rowOff>
    </xdr:from>
    <xdr:ext cx="228600" cy="155448"/>
    <xdr:pic>
      <xdr:nvPicPr>
        <xdr:cNvPr id="22" name="Picture 21">
          <a:extLst>
            <a:ext uri="{FF2B5EF4-FFF2-40B4-BE49-F238E27FC236}">
              <a16:creationId xmlns=""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9" y="1732643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18143</xdr:colOff>
      <xdr:row>9</xdr:row>
      <xdr:rowOff>22678</xdr:rowOff>
    </xdr:from>
    <xdr:ext cx="228600" cy="155448"/>
    <xdr:pic>
      <xdr:nvPicPr>
        <xdr:cNvPr id="23" name="Picture 22">
          <a:extLst>
            <a:ext uri="{FF2B5EF4-FFF2-40B4-BE49-F238E27FC236}">
              <a16:creationId xmlns=""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3" y="1737178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1260928</xdr:colOff>
      <xdr:row>25</xdr:row>
      <xdr:rowOff>18143</xdr:rowOff>
    </xdr:from>
    <xdr:ext cx="228600" cy="155448"/>
    <xdr:pic>
      <xdr:nvPicPr>
        <xdr:cNvPr id="24" name="Picture 23">
          <a:extLst>
            <a:ext uri="{FF2B5EF4-FFF2-40B4-BE49-F238E27FC236}">
              <a16:creationId xmlns=""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8" y="4780643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1260929</xdr:colOff>
      <xdr:row>40</xdr:row>
      <xdr:rowOff>18142</xdr:rowOff>
    </xdr:from>
    <xdr:ext cx="228600" cy="155448"/>
    <xdr:pic>
      <xdr:nvPicPr>
        <xdr:cNvPr id="25" name="Picture 24">
          <a:extLst>
            <a:ext uri="{FF2B5EF4-FFF2-40B4-BE49-F238E27FC236}">
              <a16:creationId xmlns=""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9" y="7638142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1260928</xdr:colOff>
      <xdr:row>10</xdr:row>
      <xdr:rowOff>22679</xdr:rowOff>
    </xdr:from>
    <xdr:ext cx="228600" cy="155448"/>
    <xdr:pic>
      <xdr:nvPicPr>
        <xdr:cNvPr id="26" name="Picture 25">
          <a:extLst>
            <a:ext uri="{FF2B5EF4-FFF2-40B4-BE49-F238E27FC236}">
              <a16:creationId xmlns=""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8" y="1927679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1260929</xdr:colOff>
      <xdr:row>26</xdr:row>
      <xdr:rowOff>22679</xdr:rowOff>
    </xdr:from>
    <xdr:ext cx="228600" cy="155448"/>
    <xdr:pic>
      <xdr:nvPicPr>
        <xdr:cNvPr id="27" name="Picture 26">
          <a:extLst>
            <a:ext uri="{FF2B5EF4-FFF2-40B4-BE49-F238E27FC236}">
              <a16:creationId xmlns=""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9" y="49756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18143</xdr:colOff>
      <xdr:row>42</xdr:row>
      <xdr:rowOff>22678</xdr:rowOff>
    </xdr:from>
    <xdr:ext cx="228600" cy="155448"/>
    <xdr:pic>
      <xdr:nvPicPr>
        <xdr:cNvPr id="28" name="Picture 27">
          <a:extLst>
            <a:ext uri="{FF2B5EF4-FFF2-40B4-BE49-F238E27FC236}">
              <a16:creationId xmlns=""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3" y="8023678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18143</xdr:colOff>
      <xdr:row>10</xdr:row>
      <xdr:rowOff>22679</xdr:rowOff>
    </xdr:from>
    <xdr:ext cx="228600" cy="155448"/>
    <xdr:pic>
      <xdr:nvPicPr>
        <xdr:cNvPr id="29" name="Picture 28">
          <a:extLst>
            <a:ext uri="{FF2B5EF4-FFF2-40B4-BE49-F238E27FC236}">
              <a16:creationId xmlns=""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3" y="19276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18143</xdr:colOff>
      <xdr:row>27</xdr:row>
      <xdr:rowOff>18143</xdr:rowOff>
    </xdr:from>
    <xdr:ext cx="228600" cy="155448"/>
    <xdr:pic>
      <xdr:nvPicPr>
        <xdr:cNvPr id="30" name="Picture 29">
          <a:extLst>
            <a:ext uri="{FF2B5EF4-FFF2-40B4-BE49-F238E27FC236}">
              <a16:creationId xmlns=""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3" y="5161643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1256393</xdr:colOff>
      <xdr:row>43</xdr:row>
      <xdr:rowOff>18143</xdr:rowOff>
    </xdr:from>
    <xdr:ext cx="228600" cy="155448"/>
    <xdr:pic>
      <xdr:nvPicPr>
        <xdr:cNvPr id="31" name="Picture 30">
          <a:extLst>
            <a:ext uri="{FF2B5EF4-FFF2-40B4-BE49-F238E27FC236}">
              <a16:creationId xmlns=""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093" y="8209643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1260929</xdr:colOff>
      <xdr:row>11</xdr:row>
      <xdr:rowOff>22679</xdr:rowOff>
    </xdr:from>
    <xdr:ext cx="228600" cy="155448"/>
    <xdr:pic>
      <xdr:nvPicPr>
        <xdr:cNvPr id="32" name="Picture 31">
          <a:extLst>
            <a:ext uri="{FF2B5EF4-FFF2-40B4-BE49-F238E27FC236}">
              <a16:creationId xmlns=""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9" y="21181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22678</xdr:colOff>
      <xdr:row>26</xdr:row>
      <xdr:rowOff>22679</xdr:rowOff>
    </xdr:from>
    <xdr:ext cx="228600" cy="155448"/>
    <xdr:pic>
      <xdr:nvPicPr>
        <xdr:cNvPr id="33" name="Picture 32">
          <a:extLst>
            <a:ext uri="{FF2B5EF4-FFF2-40B4-BE49-F238E27FC236}">
              <a16:creationId xmlns=""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8" y="49756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18143</xdr:colOff>
      <xdr:row>43</xdr:row>
      <xdr:rowOff>18143</xdr:rowOff>
    </xdr:from>
    <xdr:ext cx="228600" cy="155448"/>
    <xdr:pic>
      <xdr:nvPicPr>
        <xdr:cNvPr id="34" name="Picture 33">
          <a:extLst>
            <a:ext uri="{FF2B5EF4-FFF2-40B4-BE49-F238E27FC236}">
              <a16:creationId xmlns=""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3" y="8209643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18143</xdr:colOff>
      <xdr:row>11</xdr:row>
      <xdr:rowOff>18143</xdr:rowOff>
    </xdr:from>
    <xdr:ext cx="228600" cy="155448"/>
    <xdr:pic>
      <xdr:nvPicPr>
        <xdr:cNvPr id="35" name="Picture 34">
          <a:extLst>
            <a:ext uri="{FF2B5EF4-FFF2-40B4-BE49-F238E27FC236}">
              <a16:creationId xmlns=""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3" y="2113643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1260929</xdr:colOff>
      <xdr:row>27</xdr:row>
      <xdr:rowOff>18143</xdr:rowOff>
    </xdr:from>
    <xdr:ext cx="228600" cy="155448"/>
    <xdr:pic>
      <xdr:nvPicPr>
        <xdr:cNvPr id="36" name="Picture 35">
          <a:extLst>
            <a:ext uri="{FF2B5EF4-FFF2-40B4-BE49-F238E27FC236}">
              <a16:creationId xmlns=""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9" y="5161643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1256393</xdr:colOff>
      <xdr:row>42</xdr:row>
      <xdr:rowOff>18143</xdr:rowOff>
    </xdr:from>
    <xdr:ext cx="228600" cy="155448"/>
    <xdr:pic>
      <xdr:nvPicPr>
        <xdr:cNvPr id="37" name="Picture 36">
          <a:extLst>
            <a:ext uri="{FF2B5EF4-FFF2-40B4-BE49-F238E27FC236}">
              <a16:creationId xmlns=""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093" y="8019143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1260928</xdr:colOff>
      <xdr:row>12</xdr:row>
      <xdr:rowOff>18143</xdr:rowOff>
    </xdr:from>
    <xdr:ext cx="228600" cy="155448"/>
    <xdr:pic>
      <xdr:nvPicPr>
        <xdr:cNvPr id="38" name="Picture 37">
          <a:extLst>
            <a:ext uri="{FF2B5EF4-FFF2-40B4-BE49-F238E27FC236}">
              <a16:creationId xmlns=""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8" y="2304143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1260928</xdr:colOff>
      <xdr:row>28</xdr:row>
      <xdr:rowOff>22679</xdr:rowOff>
    </xdr:from>
    <xdr:ext cx="228600" cy="155448"/>
    <xdr:pic>
      <xdr:nvPicPr>
        <xdr:cNvPr id="39" name="Picture 38">
          <a:extLst>
            <a:ext uri="{FF2B5EF4-FFF2-40B4-BE49-F238E27FC236}">
              <a16:creationId xmlns=""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8" y="53566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22679</xdr:colOff>
      <xdr:row>44</xdr:row>
      <xdr:rowOff>18143</xdr:rowOff>
    </xdr:from>
    <xdr:ext cx="228600" cy="155448"/>
    <xdr:pic>
      <xdr:nvPicPr>
        <xdr:cNvPr id="40" name="Picture 39">
          <a:extLst>
            <a:ext uri="{FF2B5EF4-FFF2-40B4-BE49-F238E27FC236}">
              <a16:creationId xmlns=""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9" y="8400143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22678</xdr:colOff>
      <xdr:row>12</xdr:row>
      <xdr:rowOff>22679</xdr:rowOff>
    </xdr:from>
    <xdr:ext cx="228600" cy="155448"/>
    <xdr:pic>
      <xdr:nvPicPr>
        <xdr:cNvPr id="41" name="Picture 40">
          <a:extLst>
            <a:ext uri="{FF2B5EF4-FFF2-40B4-BE49-F238E27FC236}">
              <a16:creationId xmlns=""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878" y="2308679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1256393</xdr:colOff>
      <xdr:row>45</xdr:row>
      <xdr:rowOff>22679</xdr:rowOff>
    </xdr:from>
    <xdr:ext cx="228600" cy="155448"/>
    <xdr:pic>
      <xdr:nvPicPr>
        <xdr:cNvPr id="42" name="Picture 41">
          <a:extLst>
            <a:ext uri="{FF2B5EF4-FFF2-40B4-BE49-F238E27FC236}">
              <a16:creationId xmlns=""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093" y="85951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18143</xdr:colOff>
      <xdr:row>29</xdr:row>
      <xdr:rowOff>22678</xdr:rowOff>
    </xdr:from>
    <xdr:ext cx="228600" cy="155448"/>
    <xdr:pic>
      <xdr:nvPicPr>
        <xdr:cNvPr id="43" name="Picture 42">
          <a:extLst>
            <a:ext uri="{FF2B5EF4-FFF2-40B4-BE49-F238E27FC236}">
              <a16:creationId xmlns=""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343" y="5547178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1260928</xdr:colOff>
      <xdr:row>13</xdr:row>
      <xdr:rowOff>22679</xdr:rowOff>
    </xdr:from>
    <xdr:ext cx="228600" cy="155448"/>
    <xdr:pic>
      <xdr:nvPicPr>
        <xdr:cNvPr id="44" name="Picture 43">
          <a:extLst>
            <a:ext uri="{FF2B5EF4-FFF2-40B4-BE49-F238E27FC236}">
              <a16:creationId xmlns=""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628" y="249917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17318</xdr:colOff>
      <xdr:row>28</xdr:row>
      <xdr:rowOff>17318</xdr:rowOff>
    </xdr:from>
    <xdr:ext cx="228600" cy="155448"/>
    <xdr:pic>
      <xdr:nvPicPr>
        <xdr:cNvPr id="45" name="Picture 44">
          <a:extLst>
            <a:ext uri="{FF2B5EF4-FFF2-40B4-BE49-F238E27FC236}">
              <a16:creationId xmlns=""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518" y="5351318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21647</xdr:colOff>
      <xdr:row>45</xdr:row>
      <xdr:rowOff>17318</xdr:rowOff>
    </xdr:from>
    <xdr:ext cx="228600" cy="155448"/>
    <xdr:pic>
      <xdr:nvPicPr>
        <xdr:cNvPr id="46" name="Picture 45">
          <a:extLst>
            <a:ext uri="{FF2B5EF4-FFF2-40B4-BE49-F238E27FC236}">
              <a16:creationId xmlns=""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8847" y="8589818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17318</xdr:colOff>
      <xdr:row>13</xdr:row>
      <xdr:rowOff>21648</xdr:rowOff>
    </xdr:from>
    <xdr:ext cx="228600" cy="155448"/>
    <xdr:pic>
      <xdr:nvPicPr>
        <xdr:cNvPr id="47" name="Picture 46">
          <a:extLst>
            <a:ext uri="{FF2B5EF4-FFF2-40B4-BE49-F238E27FC236}">
              <a16:creationId xmlns=""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518" y="2498148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1259897</xdr:colOff>
      <xdr:row>29</xdr:row>
      <xdr:rowOff>21648</xdr:rowOff>
    </xdr:from>
    <xdr:ext cx="228600" cy="155448"/>
    <xdr:pic>
      <xdr:nvPicPr>
        <xdr:cNvPr id="48" name="Picture 47">
          <a:extLst>
            <a:ext uri="{FF2B5EF4-FFF2-40B4-BE49-F238E27FC236}">
              <a16:creationId xmlns=""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0597" y="5546148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1255568</xdr:colOff>
      <xdr:row>44</xdr:row>
      <xdr:rowOff>17318</xdr:rowOff>
    </xdr:from>
    <xdr:ext cx="228600" cy="155448"/>
    <xdr:pic>
      <xdr:nvPicPr>
        <xdr:cNvPr id="49" name="Picture 48">
          <a:extLst>
            <a:ext uri="{FF2B5EF4-FFF2-40B4-BE49-F238E27FC236}">
              <a16:creationId xmlns=""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6268" y="8399318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14</xdr:row>
      <xdr:rowOff>23812</xdr:rowOff>
    </xdr:from>
    <xdr:ext cx="228600" cy="155448"/>
    <xdr:pic>
      <xdr:nvPicPr>
        <xdr:cNvPr id="50" name="Picture 49">
          <a:extLst>
            <a:ext uri="{FF2B5EF4-FFF2-40B4-BE49-F238E27FC236}">
              <a16:creationId xmlns=""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2690812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1262063</xdr:colOff>
      <xdr:row>30</xdr:row>
      <xdr:rowOff>19050</xdr:rowOff>
    </xdr:from>
    <xdr:ext cx="228600" cy="155448"/>
    <xdr:pic>
      <xdr:nvPicPr>
        <xdr:cNvPr id="51" name="Picture 50">
          <a:extLst>
            <a:ext uri="{FF2B5EF4-FFF2-40B4-BE49-F238E27FC236}">
              <a16:creationId xmlns=""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38" y="57340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46</xdr:row>
      <xdr:rowOff>19050</xdr:rowOff>
    </xdr:from>
    <xdr:ext cx="228600" cy="155448"/>
    <xdr:pic>
      <xdr:nvPicPr>
        <xdr:cNvPr id="52" name="Picture 51">
          <a:extLst>
            <a:ext uri="{FF2B5EF4-FFF2-40B4-BE49-F238E27FC236}">
              <a16:creationId xmlns=""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87820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47625</xdr:colOff>
      <xdr:row>14</xdr:row>
      <xdr:rowOff>19050</xdr:rowOff>
    </xdr:from>
    <xdr:ext cx="155448" cy="155448"/>
    <xdr:pic>
      <xdr:nvPicPr>
        <xdr:cNvPr id="53" name="Picture 52">
          <a:extLst>
            <a:ext uri="{FF2B5EF4-FFF2-40B4-BE49-F238E27FC236}">
              <a16:creationId xmlns=""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2686050"/>
          <a:ext cx="155448" cy="155448"/>
        </a:xfrm>
        <a:prstGeom prst="rect">
          <a:avLst/>
        </a:prstGeom>
      </xdr:spPr>
    </xdr:pic>
    <xdr:clientData/>
  </xdr:oneCellAnchor>
  <xdr:oneCellAnchor>
    <xdr:from>
      <xdr:col>7</xdr:col>
      <xdr:colOff>42862</xdr:colOff>
      <xdr:row>31</xdr:row>
      <xdr:rowOff>19050</xdr:rowOff>
    </xdr:from>
    <xdr:ext cx="155448" cy="155448"/>
    <xdr:pic>
      <xdr:nvPicPr>
        <xdr:cNvPr id="54" name="Picture 53">
          <a:extLst>
            <a:ext uri="{FF2B5EF4-FFF2-40B4-BE49-F238E27FC236}">
              <a16:creationId xmlns=""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0062" y="5924550"/>
          <a:ext cx="155448" cy="155448"/>
        </a:xfrm>
        <a:prstGeom prst="rect">
          <a:avLst/>
        </a:prstGeom>
      </xdr:spPr>
    </xdr:pic>
    <xdr:clientData/>
  </xdr:oneCellAnchor>
  <xdr:oneCellAnchor>
    <xdr:from>
      <xdr:col>4</xdr:col>
      <xdr:colOff>1290638</xdr:colOff>
      <xdr:row>47</xdr:row>
      <xdr:rowOff>19050</xdr:rowOff>
    </xdr:from>
    <xdr:ext cx="155448" cy="155448"/>
    <xdr:pic>
      <xdr:nvPicPr>
        <xdr:cNvPr id="55" name="Picture 54">
          <a:extLst>
            <a:ext uri="{FF2B5EF4-FFF2-40B4-BE49-F238E27FC236}">
              <a16:creationId xmlns=""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38" y="8972550"/>
          <a:ext cx="155448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15</xdr:row>
      <xdr:rowOff>19050</xdr:rowOff>
    </xdr:from>
    <xdr:ext cx="228600" cy="155448"/>
    <xdr:pic>
      <xdr:nvPicPr>
        <xdr:cNvPr id="56" name="Picture 55">
          <a:extLst>
            <a:ext uri="{FF2B5EF4-FFF2-40B4-BE49-F238E27FC236}">
              <a16:creationId xmlns=""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28765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30</xdr:row>
      <xdr:rowOff>19052</xdr:rowOff>
    </xdr:from>
    <xdr:ext cx="228600" cy="155448"/>
    <xdr:pic>
      <xdr:nvPicPr>
        <xdr:cNvPr id="57" name="Picture 56">
          <a:extLst>
            <a:ext uri="{FF2B5EF4-FFF2-40B4-BE49-F238E27FC236}">
              <a16:creationId xmlns=""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5734052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47</xdr:row>
      <xdr:rowOff>19050</xdr:rowOff>
    </xdr:from>
    <xdr:ext cx="228600" cy="155448"/>
    <xdr:pic>
      <xdr:nvPicPr>
        <xdr:cNvPr id="58" name="Picture 57">
          <a:extLst>
            <a:ext uri="{FF2B5EF4-FFF2-40B4-BE49-F238E27FC236}">
              <a16:creationId xmlns=""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89725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15</xdr:row>
      <xdr:rowOff>19050</xdr:rowOff>
    </xdr:from>
    <xdr:ext cx="228600" cy="155448"/>
    <xdr:pic>
      <xdr:nvPicPr>
        <xdr:cNvPr id="59" name="Picture 58">
          <a:extLst>
            <a:ext uri="{FF2B5EF4-FFF2-40B4-BE49-F238E27FC236}">
              <a16:creationId xmlns=""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2876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1262063</xdr:colOff>
      <xdr:row>31</xdr:row>
      <xdr:rowOff>19050</xdr:rowOff>
    </xdr:from>
    <xdr:ext cx="228600" cy="155448"/>
    <xdr:pic>
      <xdr:nvPicPr>
        <xdr:cNvPr id="60" name="Picture 59">
          <a:extLst>
            <a:ext uri="{FF2B5EF4-FFF2-40B4-BE49-F238E27FC236}">
              <a16:creationId xmlns=""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38" y="5924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46</xdr:row>
      <xdr:rowOff>19050</xdr:rowOff>
    </xdr:from>
    <xdr:ext cx="228600" cy="155448"/>
    <xdr:pic>
      <xdr:nvPicPr>
        <xdr:cNvPr id="61" name="Picture 60">
          <a:extLst>
            <a:ext uri="{FF2B5EF4-FFF2-40B4-BE49-F238E27FC236}">
              <a16:creationId xmlns=""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87820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16</xdr:row>
      <xdr:rowOff>19050</xdr:rowOff>
    </xdr:from>
    <xdr:ext cx="228600" cy="155448"/>
    <xdr:pic>
      <xdr:nvPicPr>
        <xdr:cNvPr id="62" name="Picture 61">
          <a:extLst>
            <a:ext uri="{FF2B5EF4-FFF2-40B4-BE49-F238E27FC236}">
              <a16:creationId xmlns=""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0670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32</xdr:row>
      <xdr:rowOff>19050</xdr:rowOff>
    </xdr:from>
    <xdr:ext cx="228600" cy="155448"/>
    <xdr:pic>
      <xdr:nvPicPr>
        <xdr:cNvPr id="63" name="Picture 62">
          <a:extLst>
            <a:ext uri="{FF2B5EF4-FFF2-40B4-BE49-F238E27FC236}">
              <a16:creationId xmlns=""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61150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48</xdr:row>
      <xdr:rowOff>19049</xdr:rowOff>
    </xdr:from>
    <xdr:ext cx="228600" cy="155448"/>
    <xdr:pic>
      <xdr:nvPicPr>
        <xdr:cNvPr id="64" name="Picture 63">
          <a:extLst>
            <a:ext uri="{FF2B5EF4-FFF2-40B4-BE49-F238E27FC236}">
              <a16:creationId xmlns=""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9163049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16</xdr:row>
      <xdr:rowOff>23813</xdr:rowOff>
    </xdr:from>
    <xdr:ext cx="228600" cy="155448"/>
    <xdr:pic>
      <xdr:nvPicPr>
        <xdr:cNvPr id="65" name="Picture 64">
          <a:extLst>
            <a:ext uri="{FF2B5EF4-FFF2-40B4-BE49-F238E27FC236}">
              <a16:creationId xmlns=""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071813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33</xdr:row>
      <xdr:rowOff>19050</xdr:rowOff>
    </xdr:from>
    <xdr:ext cx="228600" cy="155448"/>
    <xdr:pic>
      <xdr:nvPicPr>
        <xdr:cNvPr id="66" name="Picture 65">
          <a:extLst>
            <a:ext uri="{FF2B5EF4-FFF2-40B4-BE49-F238E27FC236}">
              <a16:creationId xmlns=""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6305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1262062</xdr:colOff>
      <xdr:row>49</xdr:row>
      <xdr:rowOff>19050</xdr:rowOff>
    </xdr:from>
    <xdr:ext cx="228600" cy="155448"/>
    <xdr:pic>
      <xdr:nvPicPr>
        <xdr:cNvPr id="67" name="Picture 66">
          <a:extLst>
            <a:ext uri="{FF2B5EF4-FFF2-40B4-BE49-F238E27FC236}">
              <a16:creationId xmlns=""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762" y="9353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17</xdr:row>
      <xdr:rowOff>19050</xdr:rowOff>
    </xdr:from>
    <xdr:ext cx="228600" cy="155448"/>
    <xdr:pic>
      <xdr:nvPicPr>
        <xdr:cNvPr id="68" name="Picture 67">
          <a:extLst>
            <a:ext uri="{FF2B5EF4-FFF2-40B4-BE49-F238E27FC236}">
              <a16:creationId xmlns=""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2575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32</xdr:row>
      <xdr:rowOff>19050</xdr:rowOff>
    </xdr:from>
    <xdr:ext cx="228600" cy="155448"/>
    <xdr:pic>
      <xdr:nvPicPr>
        <xdr:cNvPr id="69" name="Picture 68">
          <a:extLst>
            <a:ext uri="{FF2B5EF4-FFF2-40B4-BE49-F238E27FC236}">
              <a16:creationId xmlns=""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61150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19049</xdr:colOff>
      <xdr:row>49</xdr:row>
      <xdr:rowOff>19050</xdr:rowOff>
    </xdr:from>
    <xdr:ext cx="228600" cy="155448"/>
    <xdr:pic>
      <xdr:nvPicPr>
        <xdr:cNvPr id="70" name="Picture 69">
          <a:extLst>
            <a:ext uri="{FF2B5EF4-FFF2-40B4-BE49-F238E27FC236}">
              <a16:creationId xmlns=""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9" y="93535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17</xdr:row>
      <xdr:rowOff>19050</xdr:rowOff>
    </xdr:from>
    <xdr:ext cx="228600" cy="155448"/>
    <xdr:pic>
      <xdr:nvPicPr>
        <xdr:cNvPr id="71" name="Picture 70">
          <a:extLst>
            <a:ext uri="{FF2B5EF4-FFF2-40B4-BE49-F238E27FC236}">
              <a16:creationId xmlns=""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257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33</xdr:row>
      <xdr:rowOff>19050</xdr:rowOff>
    </xdr:from>
    <xdr:ext cx="228600" cy="155448"/>
    <xdr:pic>
      <xdr:nvPicPr>
        <xdr:cNvPr id="72" name="Picture 71">
          <a:extLst>
            <a:ext uri="{FF2B5EF4-FFF2-40B4-BE49-F238E27FC236}">
              <a16:creationId xmlns=""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6305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48</xdr:row>
      <xdr:rowOff>19050</xdr:rowOff>
    </xdr:from>
    <xdr:ext cx="228600" cy="155448"/>
    <xdr:pic>
      <xdr:nvPicPr>
        <xdr:cNvPr id="73" name="Picture 72">
          <a:extLst>
            <a:ext uri="{FF2B5EF4-FFF2-40B4-BE49-F238E27FC236}">
              <a16:creationId xmlns=""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1630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1285875</xdr:colOff>
      <xdr:row>18</xdr:row>
      <xdr:rowOff>19050</xdr:rowOff>
    </xdr:from>
    <xdr:ext cx="182880" cy="155448"/>
    <xdr:pic>
      <xdr:nvPicPr>
        <xdr:cNvPr id="74" name="Picture 73">
          <a:extLst>
            <a:ext uri="{FF2B5EF4-FFF2-40B4-BE49-F238E27FC236}">
              <a16:creationId xmlns=""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448050"/>
          <a:ext cx="182880" cy="155448"/>
        </a:xfrm>
        <a:prstGeom prst="rect">
          <a:avLst/>
        </a:prstGeom>
      </xdr:spPr>
    </xdr:pic>
    <xdr:clientData/>
  </xdr:oneCellAnchor>
  <xdr:oneCellAnchor>
    <xdr:from>
      <xdr:col>4</xdr:col>
      <xdr:colOff>1285875</xdr:colOff>
      <xdr:row>34</xdr:row>
      <xdr:rowOff>19050</xdr:rowOff>
    </xdr:from>
    <xdr:ext cx="182880" cy="155448"/>
    <xdr:pic>
      <xdr:nvPicPr>
        <xdr:cNvPr id="75" name="Picture 74">
          <a:extLst>
            <a:ext uri="{FF2B5EF4-FFF2-40B4-BE49-F238E27FC236}">
              <a16:creationId xmlns=""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6496050"/>
          <a:ext cx="182880" cy="155448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50</xdr:row>
      <xdr:rowOff>19050</xdr:rowOff>
    </xdr:from>
    <xdr:ext cx="182880" cy="155448"/>
    <xdr:pic>
      <xdr:nvPicPr>
        <xdr:cNvPr id="76" name="Picture 75">
          <a:extLst>
            <a:ext uri="{FF2B5EF4-FFF2-40B4-BE49-F238E27FC236}">
              <a16:creationId xmlns=""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9544050"/>
          <a:ext cx="18288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18</xdr:row>
      <xdr:rowOff>19050</xdr:rowOff>
    </xdr:from>
    <xdr:ext cx="228600" cy="155448"/>
    <xdr:pic>
      <xdr:nvPicPr>
        <xdr:cNvPr id="77" name="Picture 76">
          <a:extLst>
            <a:ext uri="{FF2B5EF4-FFF2-40B4-BE49-F238E27FC236}">
              <a16:creationId xmlns=""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4480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23812</xdr:colOff>
      <xdr:row>35</xdr:row>
      <xdr:rowOff>19050</xdr:rowOff>
    </xdr:from>
    <xdr:ext cx="228600" cy="155448"/>
    <xdr:pic>
      <xdr:nvPicPr>
        <xdr:cNvPr id="78" name="Picture 77">
          <a:extLst>
            <a:ext uri="{FF2B5EF4-FFF2-40B4-BE49-F238E27FC236}">
              <a16:creationId xmlns=""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012" y="6686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51</xdr:row>
      <xdr:rowOff>19050</xdr:rowOff>
    </xdr:from>
    <xdr:ext cx="228600" cy="155448"/>
    <xdr:pic>
      <xdr:nvPicPr>
        <xdr:cNvPr id="79" name="Picture 78">
          <a:extLst>
            <a:ext uri="{FF2B5EF4-FFF2-40B4-BE49-F238E27FC236}">
              <a16:creationId xmlns=""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734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19</xdr:row>
      <xdr:rowOff>19050</xdr:rowOff>
    </xdr:from>
    <xdr:ext cx="228600" cy="155448"/>
    <xdr:pic>
      <xdr:nvPicPr>
        <xdr:cNvPr id="80" name="Picture 79">
          <a:extLst>
            <a:ext uri="{FF2B5EF4-FFF2-40B4-BE49-F238E27FC236}">
              <a16:creationId xmlns=""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6385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34</xdr:row>
      <xdr:rowOff>19050</xdr:rowOff>
    </xdr:from>
    <xdr:ext cx="228600" cy="155448"/>
    <xdr:pic>
      <xdr:nvPicPr>
        <xdr:cNvPr id="81" name="Picture 80">
          <a:extLst>
            <a:ext uri="{FF2B5EF4-FFF2-40B4-BE49-F238E27FC236}">
              <a16:creationId xmlns=""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64960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51</xdr:row>
      <xdr:rowOff>19050</xdr:rowOff>
    </xdr:from>
    <xdr:ext cx="228600" cy="155448"/>
    <xdr:pic>
      <xdr:nvPicPr>
        <xdr:cNvPr id="82" name="Picture 81">
          <a:extLst>
            <a:ext uri="{FF2B5EF4-FFF2-40B4-BE49-F238E27FC236}">
              <a16:creationId xmlns=""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9734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1257301</xdr:colOff>
      <xdr:row>20</xdr:row>
      <xdr:rowOff>19050</xdr:rowOff>
    </xdr:from>
    <xdr:ext cx="228600" cy="155448"/>
    <xdr:pic>
      <xdr:nvPicPr>
        <xdr:cNvPr id="83" name="Picture 82">
          <a:extLst>
            <a:ext uri="{FF2B5EF4-FFF2-40B4-BE49-F238E27FC236}">
              <a16:creationId xmlns=""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1" y="38290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1262063</xdr:colOff>
      <xdr:row>36</xdr:row>
      <xdr:rowOff>19050</xdr:rowOff>
    </xdr:from>
    <xdr:ext cx="228600" cy="155448"/>
    <xdr:pic>
      <xdr:nvPicPr>
        <xdr:cNvPr id="84" name="Picture 83">
          <a:extLst>
            <a:ext uri="{FF2B5EF4-FFF2-40B4-BE49-F238E27FC236}">
              <a16:creationId xmlns=""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38" y="68770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52</xdr:row>
      <xdr:rowOff>19050</xdr:rowOff>
    </xdr:from>
    <xdr:ext cx="228600" cy="155448"/>
    <xdr:pic>
      <xdr:nvPicPr>
        <xdr:cNvPr id="85" name="Picture 84">
          <a:extLst>
            <a:ext uri="{FF2B5EF4-FFF2-40B4-BE49-F238E27FC236}">
              <a16:creationId xmlns=""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99250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23813</xdr:colOff>
      <xdr:row>20</xdr:row>
      <xdr:rowOff>23813</xdr:rowOff>
    </xdr:from>
    <xdr:ext cx="228600" cy="155448"/>
    <xdr:pic>
      <xdr:nvPicPr>
        <xdr:cNvPr id="86" name="Picture 85">
          <a:extLst>
            <a:ext uri="{FF2B5EF4-FFF2-40B4-BE49-F238E27FC236}">
              <a16:creationId xmlns=""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013" y="3833813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23812</xdr:colOff>
      <xdr:row>37</xdr:row>
      <xdr:rowOff>19050</xdr:rowOff>
    </xdr:from>
    <xdr:ext cx="228600" cy="155448"/>
    <xdr:pic>
      <xdr:nvPicPr>
        <xdr:cNvPr id="87" name="Picture 86">
          <a:extLst>
            <a:ext uri="{FF2B5EF4-FFF2-40B4-BE49-F238E27FC236}">
              <a16:creationId xmlns=""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012" y="7067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1257300</xdr:colOff>
      <xdr:row>53</xdr:row>
      <xdr:rowOff>19050</xdr:rowOff>
    </xdr:from>
    <xdr:ext cx="228600" cy="155448"/>
    <xdr:pic>
      <xdr:nvPicPr>
        <xdr:cNvPr id="88" name="Picture 87">
          <a:extLst>
            <a:ext uri="{FF2B5EF4-FFF2-40B4-BE49-F238E27FC236}">
              <a16:creationId xmlns=""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115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1262063</xdr:colOff>
      <xdr:row>21</xdr:row>
      <xdr:rowOff>23813</xdr:rowOff>
    </xdr:from>
    <xdr:ext cx="228600" cy="155448"/>
    <xdr:pic>
      <xdr:nvPicPr>
        <xdr:cNvPr id="89" name="Picture 88">
          <a:extLst>
            <a:ext uri="{FF2B5EF4-FFF2-40B4-BE49-F238E27FC236}">
              <a16:creationId xmlns=""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38" y="4024313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23813</xdr:colOff>
      <xdr:row>36</xdr:row>
      <xdr:rowOff>23813</xdr:rowOff>
    </xdr:from>
    <xdr:ext cx="228600" cy="155448"/>
    <xdr:pic>
      <xdr:nvPicPr>
        <xdr:cNvPr id="90" name="Picture 89">
          <a:extLst>
            <a:ext uri="{FF2B5EF4-FFF2-40B4-BE49-F238E27FC236}">
              <a16:creationId xmlns=""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013" y="6881813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53</xdr:row>
      <xdr:rowOff>19050</xdr:rowOff>
    </xdr:from>
    <xdr:ext cx="228600" cy="155448"/>
    <xdr:pic>
      <xdr:nvPicPr>
        <xdr:cNvPr id="91" name="Picture 90">
          <a:extLst>
            <a:ext uri="{FF2B5EF4-FFF2-40B4-BE49-F238E27FC236}">
              <a16:creationId xmlns=""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01155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21</xdr:row>
      <xdr:rowOff>19050</xdr:rowOff>
    </xdr:from>
    <xdr:ext cx="228600" cy="155448"/>
    <xdr:pic>
      <xdr:nvPicPr>
        <xdr:cNvPr id="92" name="Picture 91">
          <a:extLst>
            <a:ext uri="{FF2B5EF4-FFF2-40B4-BE49-F238E27FC236}">
              <a16:creationId xmlns=""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019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1262062</xdr:colOff>
      <xdr:row>37</xdr:row>
      <xdr:rowOff>19050</xdr:rowOff>
    </xdr:from>
    <xdr:ext cx="228600" cy="155448"/>
    <xdr:pic>
      <xdr:nvPicPr>
        <xdr:cNvPr id="93" name="Picture 92">
          <a:extLst>
            <a:ext uri="{FF2B5EF4-FFF2-40B4-BE49-F238E27FC236}">
              <a16:creationId xmlns=""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762" y="7067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1262062</xdr:colOff>
      <xdr:row>52</xdr:row>
      <xdr:rowOff>19050</xdr:rowOff>
    </xdr:from>
    <xdr:ext cx="228600" cy="155448"/>
    <xdr:pic>
      <xdr:nvPicPr>
        <xdr:cNvPr id="94" name="Picture 93">
          <a:extLst>
            <a:ext uri="{FF2B5EF4-FFF2-40B4-BE49-F238E27FC236}">
              <a16:creationId xmlns=""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762" y="9925050"/>
          <a:ext cx="228600" cy="155448"/>
        </a:xfrm>
        <a:prstGeom prst="rect">
          <a:avLst/>
        </a:prstGeom>
      </xdr:spPr>
    </xdr:pic>
    <xdr:clientData/>
  </xdr:oneCellAnchor>
  <xdr:oneCellAnchor>
    <xdr:from>
      <xdr:col>7</xdr:col>
      <xdr:colOff>23813</xdr:colOff>
      <xdr:row>19</xdr:row>
      <xdr:rowOff>23812</xdr:rowOff>
    </xdr:from>
    <xdr:ext cx="228600" cy="155448"/>
    <xdr:pic>
      <xdr:nvPicPr>
        <xdr:cNvPr id="95" name="Picture 94">
          <a:extLst>
            <a:ext uri="{FF2B5EF4-FFF2-40B4-BE49-F238E27FC236}">
              <a16:creationId xmlns=""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013" y="3643312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1262062</xdr:colOff>
      <xdr:row>35</xdr:row>
      <xdr:rowOff>19050</xdr:rowOff>
    </xdr:from>
    <xdr:ext cx="228600" cy="155448"/>
    <xdr:pic>
      <xdr:nvPicPr>
        <xdr:cNvPr id="96" name="Picture 95">
          <a:extLst>
            <a:ext uri="{FF2B5EF4-FFF2-40B4-BE49-F238E27FC236}">
              <a16:creationId xmlns=""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762" y="6686550"/>
          <a:ext cx="228600" cy="155448"/>
        </a:xfrm>
        <a:prstGeom prst="rect">
          <a:avLst/>
        </a:prstGeom>
      </xdr:spPr>
    </xdr:pic>
    <xdr:clientData/>
  </xdr:oneCellAnchor>
  <xdr:oneCellAnchor>
    <xdr:from>
      <xdr:col>4</xdr:col>
      <xdr:colOff>1257302</xdr:colOff>
      <xdr:row>50</xdr:row>
      <xdr:rowOff>19050</xdr:rowOff>
    </xdr:from>
    <xdr:ext cx="228600" cy="155448"/>
    <xdr:pic>
      <xdr:nvPicPr>
        <xdr:cNvPr id="97" name="Picture 96">
          <a:extLst>
            <a:ext uri="{FF2B5EF4-FFF2-40B4-BE49-F238E27FC236}">
              <a16:creationId xmlns=""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2" y="9544050"/>
          <a:ext cx="228600" cy="1554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world_cup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Settings"/>
      <sheetName val="2018 World Cup"/>
    </sheetNames>
    <sheetDataSet>
      <sheetData sheetId="0">
        <row r="1">
          <cell r="A1" t="str">
            <v>English</v>
          </cell>
          <cell r="B1" t="str">
            <v>Albanian</v>
          </cell>
          <cell r="C1" t="str">
            <v>Arabic</v>
          </cell>
          <cell r="D1" t="str">
            <v>Armenian</v>
          </cell>
          <cell r="E1" t="str">
            <v>Azerbaijan</v>
          </cell>
          <cell r="F1" t="str">
            <v>Bulgarian</v>
          </cell>
          <cell r="G1" t="str">
            <v>Català</v>
          </cell>
          <cell r="H1" t="str">
            <v>Chinese (Simplified)</v>
          </cell>
          <cell r="I1" t="str">
            <v>Chinese (Traditional)</v>
          </cell>
          <cell r="J1" t="str">
            <v>Croatian</v>
          </cell>
          <cell r="K1" t="str">
            <v>Czech</v>
          </cell>
          <cell r="L1" t="str">
            <v>Danish</v>
          </cell>
          <cell r="M1" t="str">
            <v>Dutch</v>
          </cell>
          <cell r="N1" t="str">
            <v>French</v>
          </cell>
          <cell r="O1" t="str">
            <v>Georgian</v>
          </cell>
          <cell r="P1" t="str">
            <v>German</v>
          </cell>
          <cell r="Q1" t="str">
            <v>Greek</v>
          </cell>
          <cell r="R1" t="str">
            <v>Hebrew</v>
          </cell>
          <cell r="S1" t="str">
            <v>Hungarian</v>
          </cell>
          <cell r="T1" t="str">
            <v>Indonesia</v>
          </cell>
          <cell r="U1" t="str">
            <v>Icelandic</v>
          </cell>
          <cell r="V1" t="str">
            <v>Italian</v>
          </cell>
          <cell r="W1" t="str">
            <v>Korean</v>
          </cell>
          <cell r="X1" t="str">
            <v>Lithuanian</v>
          </cell>
          <cell r="Y1" t="str">
            <v>Macedonian</v>
          </cell>
          <cell r="Z1" t="str">
            <v>Maltese</v>
          </cell>
          <cell r="AA1" t="str">
            <v>Norwegian</v>
          </cell>
          <cell r="AB1" t="str">
            <v>Persian</v>
          </cell>
          <cell r="AC1" t="str">
            <v>Polish</v>
          </cell>
          <cell r="AD1" t="str">
            <v>Portuguese</v>
          </cell>
          <cell r="AE1" t="str">
            <v>Romanian</v>
          </cell>
          <cell r="AF1" t="str">
            <v>Russian</v>
          </cell>
          <cell r="AG1" t="str">
            <v>Serbian</v>
          </cell>
          <cell r="AH1" t="str">
            <v>Slovak</v>
          </cell>
          <cell r="AI1" t="str">
            <v>Slovenian</v>
          </cell>
          <cell r="AJ1" t="str">
            <v>Spanish</v>
          </cell>
          <cell r="AK1" t="str">
            <v>Swedish</v>
          </cell>
          <cell r="AL1" t="str">
            <v>Thai</v>
          </cell>
          <cell r="AM1" t="str">
            <v>Turkish</v>
          </cell>
          <cell r="AN1" t="str">
            <v>Vietnamese</v>
          </cell>
          <cell r="AO1" t="str">
            <v>Ukrainian</v>
          </cell>
          <cell r="AP1" t="str">
            <v>Urdu</v>
          </cell>
          <cell r="AQ1" t="str">
            <v>Uzbek</v>
          </cell>
        </row>
        <row r="2">
          <cell r="A2" t="str">
            <v>2018 World Cup Final Tournament Schedule</v>
          </cell>
          <cell r="B2" t="str">
            <v>Kupa Botërore 2018</v>
          </cell>
          <cell r="C2" t="str">
            <v>جدول مباريات كأس العالم 2018</v>
          </cell>
          <cell r="D2" t="str">
            <v xml:space="preserve">Աշխարհի 2018թ. առաջնություն </v>
          </cell>
          <cell r="E2" t="str">
            <v>2018 - cu il Dünya Çempionatinin Final Mərhələsinin Cədvəli</v>
          </cell>
          <cell r="F2" t="str">
            <v>График на срещите - Световно първенство 2018</v>
          </cell>
          <cell r="G2" t="str">
            <v>Calendari de la Fase Final de la Copa del Món de futbol 2018</v>
          </cell>
          <cell r="H2" t="str">
            <v>巴西2018年世界杯</v>
          </cell>
          <cell r="I2" t="str">
            <v>2018 世界盃賽程</v>
          </cell>
          <cell r="J2" t="str">
            <v>Svjetsko prvenstvo 2018 raspored utakmica</v>
          </cell>
          <cell r="K2" t="str">
            <v>Mistrovství světa ve fotbale 2018</v>
          </cell>
          <cell r="L2" t="str">
            <v>2018 Verdensmesterskabs Oversigt</v>
          </cell>
          <cell r="M2" t="str">
            <v>Wereldkampioenschap 2018 Toernooischema</v>
          </cell>
          <cell r="N2" t="str">
            <v>Coupe du Monde de la FIFA 2018 - Calendrier des matchs</v>
          </cell>
          <cell r="O2" t="str">
            <v>მსოფლიო ჩემპიონატი ფეხბურთში - სამხრეთ აფრიკა 2018</v>
          </cell>
          <cell r="P2" t="str">
            <v>Spielplan Weltmeisterschafts endrunde 2018</v>
          </cell>
          <cell r="Q2" t="str">
            <v>Πρόγραμμα Τελικών Παγκοσμίου Κυπέλλου 2018</v>
          </cell>
          <cell r="R2" t="str">
            <v>2018 גביע העולם טורניר הגמר תזמן</v>
          </cell>
          <cell r="S2" t="str">
            <v>2018 Labdarúgó-világbajnokság döntő sorozata</v>
          </cell>
          <cell r="T2" t="str">
            <v>Jadwal Turnamen Final Piala Dunia 2018</v>
          </cell>
          <cell r="U2" t="str">
            <v>HM 2018 lokakeppnin</v>
          </cell>
          <cell r="V2" t="str">
            <v>Calendario Coppa del mondo 2018</v>
          </cell>
          <cell r="W2" t="str">
            <v>2018 월드컵 최종 토너먼트 일정</v>
          </cell>
          <cell r="X2" t="str">
            <v>2018 Pasaulio Futbolo Čempionato Tvarkaraštis</v>
          </cell>
          <cell r="Y2" t="str">
            <v>Светски првенство 2018 - Распоред на натпревари</v>
          </cell>
          <cell r="Z2" t="str">
            <v>Skeda tat-Tazza tad-Dinja 2018</v>
          </cell>
          <cell r="AA2" t="str">
            <v>Verdensmesterskapet i fotball 2018</v>
          </cell>
          <cell r="AB2" t="str">
            <v>جدول مسابقات فینال جام جهانی 2018</v>
          </cell>
          <cell r="AC2" t="str">
            <v>2018 Mistrzostwa Świata Terminarz Meczy</v>
          </cell>
          <cell r="AD2" t="str">
            <v>Calendário Fase Final Mundial 2018</v>
          </cell>
          <cell r="AE2" t="str">
            <v>Programul Turneului Final FIFA World Cup 2018</v>
          </cell>
          <cell r="AF2" t="str">
            <v>Расписание Игр Финальной Стадии Чемпионата Мира по Футболу 2018</v>
          </cell>
          <cell r="AG2" t="str">
            <v>Svetsko prvenstvo u fudbalu 2018 - Raspored utakmica</v>
          </cell>
          <cell r="AH2" t="str">
            <v>Majstrovstvá sveta vo futbale 2018</v>
          </cell>
          <cell r="AI2" t="str">
            <v>Svetovno prvenstvo 2018 razpored tekem</v>
          </cell>
          <cell r="AJ2" t="str">
            <v>Copa Mundial de Fútbol - Brasil 2018</v>
          </cell>
          <cell r="AK2" t="str">
            <v>Schema för VM-slutspelet 2018</v>
          </cell>
          <cell r="AL2" t="str">
            <v>ตารางการแข่งขันฟุตบอลโลก 2018</v>
          </cell>
          <cell r="AM2" t="str">
            <v>2018 Dünya Kupası Finalleri Turnuva Fikstürü</v>
          </cell>
          <cell r="AN2" t="str">
            <v>Lịch Thi Đấu Cúp Bóng Đá Thế Giới 2018</v>
          </cell>
          <cell r="AO2" t="str">
            <v>Календар Чемпіонату Світу 2018</v>
          </cell>
          <cell r="AP2" t="str">
            <v>۲۰۱۰ فٹبال عالمی کپ ٹورنمنٹ کا خاکہ</v>
          </cell>
          <cell r="AQ2" t="str">
            <v>Футбол бўйича 2018 йил жаҳон чемпионати финал босқичи ўйинлар Жадвали</v>
          </cell>
        </row>
        <row r="3">
          <cell r="A3" t="str">
            <v>Group Stage</v>
          </cell>
          <cell r="B3" t="str">
            <v>Grupet</v>
          </cell>
          <cell r="C3" t="str">
            <v>الدور الأول</v>
          </cell>
          <cell r="D3" t="str">
            <v>Խմբային փուլ</v>
          </cell>
          <cell r="E3" t="str">
            <v>Qrup Mərhələsi</v>
          </cell>
          <cell r="F3" t="str">
            <v>Групова фаза</v>
          </cell>
          <cell r="G3" t="str">
            <v>Fase de grups</v>
          </cell>
          <cell r="H3" t="str">
            <v>小组赛阶段</v>
          </cell>
          <cell r="I3" t="str">
            <v>分組賽</v>
          </cell>
          <cell r="J3" t="str">
            <v>Prvi krug</v>
          </cell>
          <cell r="K3" t="str">
            <v>Základní skupiny</v>
          </cell>
          <cell r="L3" t="str">
            <v>Gruppespil</v>
          </cell>
          <cell r="M3" t="str">
            <v>Groepsfase</v>
          </cell>
          <cell r="N3" t="str">
            <v>Phase de groupes</v>
          </cell>
          <cell r="O3" t="str">
            <v>ჯგუფური ეტაპი</v>
          </cell>
          <cell r="P3" t="str">
            <v>Gruppenphase</v>
          </cell>
          <cell r="Q3" t="str">
            <v>Φάση Ομίλων</v>
          </cell>
          <cell r="R3" t="str">
            <v>שלב הבתים</v>
          </cell>
          <cell r="S3" t="str">
            <v>Csoportkörök</v>
          </cell>
          <cell r="T3" t="str">
            <v>Babak Kualifikasi</v>
          </cell>
          <cell r="U3" t="str">
            <v>Riðlakeppnin</v>
          </cell>
          <cell r="V3" t="str">
            <v>Fase a gironi</v>
          </cell>
          <cell r="W3" t="str">
            <v>조별 리그</v>
          </cell>
          <cell r="X3" t="str">
            <v>Grupės Etapas</v>
          </cell>
          <cell r="Y3" t="str">
            <v>Фаза по групи</v>
          </cell>
          <cell r="Z3" t="str">
            <v>Fażi tal-Gruppi</v>
          </cell>
          <cell r="AA3" t="str">
            <v>Gruppespill</v>
          </cell>
          <cell r="AB3" t="str">
            <v>مرحله گروهی</v>
          </cell>
          <cell r="AC3" t="str">
            <v>Faza Grupowa</v>
          </cell>
          <cell r="AD3" t="str">
            <v>Fase de grupos</v>
          </cell>
          <cell r="AE3" t="str">
            <v>Faza Grupelor</v>
          </cell>
          <cell r="AF3" t="str">
            <v>Групповой Раунд</v>
          </cell>
          <cell r="AG3" t="str">
            <v>Grupno takmičenje</v>
          </cell>
          <cell r="AH3" t="str">
            <v>Skupinová fáza</v>
          </cell>
          <cell r="AI3" t="str">
            <v>Skupinski del</v>
          </cell>
          <cell r="AJ3" t="str">
            <v>Fase de grupos</v>
          </cell>
          <cell r="AK3" t="str">
            <v>Gruppspel</v>
          </cell>
          <cell r="AL3" t="str">
            <v>รอบแรก</v>
          </cell>
          <cell r="AM3" t="str">
            <v>Grup Aşaması</v>
          </cell>
          <cell r="AN3" t="str">
            <v>Vòng Bảng</v>
          </cell>
          <cell r="AO3" t="str">
            <v>Груповий етап</v>
          </cell>
          <cell r="AP3" t="str">
            <v>گروپ بندی</v>
          </cell>
          <cell r="AQ3" t="str">
            <v>Гуруҳ босқичи</v>
          </cell>
        </row>
        <row r="4">
          <cell r="A4" t="str">
            <v>Round of 16</v>
          </cell>
          <cell r="B4" t="str">
            <v>Rundi I 16</v>
          </cell>
          <cell r="C4" t="str">
            <v>دور الستة عشر</v>
          </cell>
          <cell r="D4" t="str">
            <v>1/8 Եզրափակիչ</v>
          </cell>
          <cell r="E4" t="str">
            <v>16-da bir raund</v>
          </cell>
          <cell r="F4" t="str">
            <v>1/8 - финали</v>
          </cell>
          <cell r="G4" t="str">
            <v>Vuitens de final</v>
          </cell>
          <cell r="H4" t="str">
            <v>16强赛</v>
          </cell>
          <cell r="I4" t="str">
            <v>十六強</v>
          </cell>
          <cell r="J4" t="str">
            <v>Drugi krug</v>
          </cell>
          <cell r="K4" t="str">
            <v>Osmifinále</v>
          </cell>
          <cell r="L4" t="str">
            <v>Runde af 16</v>
          </cell>
          <cell r="M4" t="str">
            <v>Achtste finales</v>
          </cell>
          <cell r="N4" t="str">
            <v>Huitièmes de finale</v>
          </cell>
          <cell r="O4" t="str">
            <v>მერვედფინალი</v>
          </cell>
          <cell r="P4" t="str">
            <v>Achtelfinale</v>
          </cell>
          <cell r="Q4" t="str">
            <v>Φάση των 16</v>
          </cell>
          <cell r="R4" t="str">
            <v>שמינית גמר</v>
          </cell>
          <cell r="S4" t="str">
            <v>Nyolcaddöntők</v>
          </cell>
          <cell r="T4" t="str">
            <v>Per Delapan Final</v>
          </cell>
          <cell r="U4" t="str">
            <v>16 liða úrslit</v>
          </cell>
          <cell r="V4" t="str">
            <v>Ottavi di finale</v>
          </cell>
          <cell r="W4" t="str">
            <v>16강전</v>
          </cell>
          <cell r="X4" t="str">
            <v>16-tuko Raundas</v>
          </cell>
          <cell r="Y4" t="str">
            <v>1/8 финале</v>
          </cell>
          <cell r="Z4" t="str">
            <v>L-Aħħar Sittax</v>
          </cell>
          <cell r="AA4" t="str">
            <v>8-dels finale</v>
          </cell>
          <cell r="AB4" t="str">
            <v xml:space="preserve"> یک هشتم نهائی</v>
          </cell>
          <cell r="AC4" t="str">
            <v>1/8 Finału</v>
          </cell>
          <cell r="AD4" t="str">
            <v>Oitavos de Final</v>
          </cell>
          <cell r="AE4" t="str">
            <v>Optimi</v>
          </cell>
          <cell r="AF4" t="str">
            <v>1/8 Финала</v>
          </cell>
          <cell r="AG4" t="str">
            <v>Šesnaestina finala</v>
          </cell>
          <cell r="AH4" t="str">
            <v>Osemfinále</v>
          </cell>
          <cell r="AI4" t="str">
            <v>Osminafinala</v>
          </cell>
          <cell r="AJ4" t="str">
            <v>Octavos de final</v>
          </cell>
          <cell r="AK4" t="str">
            <v>Åttondelsfinal</v>
          </cell>
          <cell r="AL4" t="str">
            <v>รอบสอง</v>
          </cell>
          <cell r="AM4" t="str">
            <v>Son 16</v>
          </cell>
          <cell r="AN4" t="str">
            <v>Vòng 1/16</v>
          </cell>
          <cell r="AO4" t="str">
            <v>1/8 фіналу</v>
          </cell>
          <cell r="AP4" t="str">
            <v>سولھواں دور</v>
          </cell>
          <cell r="AQ4" t="str">
            <v>Нимчорак финал</v>
          </cell>
        </row>
        <row r="5">
          <cell r="A5" t="str">
            <v>Quarterfinals</v>
          </cell>
          <cell r="B5" t="str">
            <v>Qerekfinalja</v>
          </cell>
          <cell r="C5" t="str">
            <v>دور الربع نهائي</v>
          </cell>
          <cell r="D5" t="str">
            <v>1/4 Եզրափակիչ</v>
          </cell>
          <cell r="E5" t="str">
            <v>Dörddə bir Final</v>
          </cell>
          <cell r="F5" t="str">
            <v>1/4 - финали</v>
          </cell>
          <cell r="G5" t="str">
            <v>Quarts de final</v>
          </cell>
          <cell r="H5" t="str">
            <v>8强赛</v>
          </cell>
          <cell r="I5" t="str">
            <v>八強</v>
          </cell>
          <cell r="J5" t="str">
            <v>Četvrtfinale</v>
          </cell>
          <cell r="K5" t="str">
            <v>Čtvrtfinále</v>
          </cell>
          <cell r="L5" t="str">
            <v>Kvartfinale</v>
          </cell>
          <cell r="M5" t="str">
            <v>Kwartfinales</v>
          </cell>
          <cell r="N5" t="str">
            <v>Quart de Finale</v>
          </cell>
          <cell r="O5" t="str">
            <v>მეოთხედფინალი</v>
          </cell>
          <cell r="P5" t="str">
            <v>Viertelfinale</v>
          </cell>
          <cell r="Q5" t="str">
            <v>Προημιτελικοί</v>
          </cell>
          <cell r="R5" t="str">
            <v>רבע גמר</v>
          </cell>
          <cell r="S5" t="str">
            <v>Negyeddöntők</v>
          </cell>
          <cell r="T5" t="str">
            <v>Perempat Final</v>
          </cell>
          <cell r="U5" t="str">
            <v>8 liða úrslit</v>
          </cell>
          <cell r="V5" t="str">
            <v>Quarti di finale</v>
          </cell>
          <cell r="W5" t="str">
            <v>8강전</v>
          </cell>
          <cell r="X5" t="str">
            <v>Ketvirtfinaliai</v>
          </cell>
          <cell r="Y5" t="str">
            <v>1/4 финале</v>
          </cell>
          <cell r="Z5" t="str">
            <v>Kwarti-Finali</v>
          </cell>
          <cell r="AA5" t="str">
            <v>Kvartfinale</v>
          </cell>
          <cell r="AB5" t="str">
            <v>یک چهارم نهائی</v>
          </cell>
          <cell r="AC5" t="str">
            <v>Ćwierćfinały</v>
          </cell>
          <cell r="AD5" t="str">
            <v>Quartos de Final</v>
          </cell>
          <cell r="AE5" t="str">
            <v>Sferturi de finala</v>
          </cell>
          <cell r="AF5" t="str">
            <v>Четвертьфиналы</v>
          </cell>
          <cell r="AG5" t="str">
            <v>Četvrtfinale</v>
          </cell>
          <cell r="AH5" t="str">
            <v>Štvrťfinále</v>
          </cell>
          <cell r="AI5" t="str">
            <v>Četrtfinale</v>
          </cell>
          <cell r="AJ5" t="str">
            <v>Cuartos de Final</v>
          </cell>
          <cell r="AK5" t="str">
            <v>Kvartsfinal</v>
          </cell>
          <cell r="AL5" t="str">
            <v>รอบก่อนรองชนะเลิศ</v>
          </cell>
          <cell r="AM5" t="str">
            <v>Çeyrek Final</v>
          </cell>
          <cell r="AN5" t="str">
            <v>Tứ kết</v>
          </cell>
          <cell r="AO5" t="str">
            <v>Чвертьфінал</v>
          </cell>
          <cell r="AP5" t="str">
            <v>کواٹر فائنل</v>
          </cell>
          <cell r="AQ5" t="str">
            <v>Чорак финал</v>
          </cell>
        </row>
        <row r="6">
          <cell r="A6" t="str">
            <v>Semi-Finals</v>
          </cell>
          <cell r="B6" t="str">
            <v>Gjysmëfinalja</v>
          </cell>
          <cell r="C6" t="str">
            <v>دور النصف نهائي</v>
          </cell>
          <cell r="D6" t="str">
            <v>Կիսաեզրափակիչ</v>
          </cell>
          <cell r="E6" t="str">
            <v>Yarım Final</v>
          </cell>
          <cell r="F6" t="str">
            <v>1/2 - финали</v>
          </cell>
          <cell r="G6" t="str">
            <v>Semifinals</v>
          </cell>
          <cell r="H6" t="str">
            <v>半决赛</v>
          </cell>
          <cell r="I6" t="str">
            <v>準決賽</v>
          </cell>
          <cell r="J6" t="str">
            <v>Polufinale</v>
          </cell>
          <cell r="K6" t="str">
            <v>Semifinále</v>
          </cell>
          <cell r="L6" t="str">
            <v>Semifinale</v>
          </cell>
          <cell r="M6" t="str">
            <v>Halve finales</v>
          </cell>
          <cell r="N6" t="str">
            <v>Demi-Finale</v>
          </cell>
          <cell r="O6" t="str">
            <v>ნახევარფინალი</v>
          </cell>
          <cell r="P6" t="str">
            <v>Halbfinale</v>
          </cell>
          <cell r="Q6" t="str">
            <v>Ημιτελικοί</v>
          </cell>
          <cell r="R6" t="str">
            <v>חצי גמר</v>
          </cell>
          <cell r="S6" t="str">
            <v>Elődöntők</v>
          </cell>
          <cell r="T6" t="str">
            <v>Semi Final</v>
          </cell>
          <cell r="U6" t="str">
            <v>Undanúrslit</v>
          </cell>
          <cell r="V6" t="str">
            <v>Semifinali</v>
          </cell>
          <cell r="W6" t="str">
            <v>준결승전</v>
          </cell>
          <cell r="X6" t="str">
            <v>Pusfinaliai</v>
          </cell>
          <cell r="Y6" t="str">
            <v>1/2 финале</v>
          </cell>
          <cell r="Z6" t="str">
            <v>Semi-Finali</v>
          </cell>
          <cell r="AA6" t="str">
            <v>Semifinale</v>
          </cell>
          <cell r="AB6" t="str">
            <v>نیمه نهائی</v>
          </cell>
          <cell r="AC6" t="str">
            <v>Półfinały</v>
          </cell>
          <cell r="AD6" t="str">
            <v>Semi-final</v>
          </cell>
          <cell r="AE6" t="str">
            <v>Semifinale</v>
          </cell>
          <cell r="AF6" t="str">
            <v>Полуфиналы</v>
          </cell>
          <cell r="AG6" t="str">
            <v>Polufinale</v>
          </cell>
          <cell r="AH6" t="str">
            <v>Semifinále</v>
          </cell>
          <cell r="AI6" t="str">
            <v>Polfinale</v>
          </cell>
          <cell r="AJ6" t="str">
            <v>Semifinales</v>
          </cell>
          <cell r="AK6" t="str">
            <v>Semifinal</v>
          </cell>
          <cell r="AL6" t="str">
            <v>รอบรองชนะเลิศ</v>
          </cell>
          <cell r="AM6" t="str">
            <v>Yarı Final</v>
          </cell>
          <cell r="AN6" t="str">
            <v>Bán kết</v>
          </cell>
          <cell r="AO6" t="str">
            <v>Півфінал</v>
          </cell>
          <cell r="AP6" t="str">
            <v>سیمی فائنل</v>
          </cell>
          <cell r="AQ6" t="str">
            <v>Ярим финал</v>
          </cell>
        </row>
        <row r="7">
          <cell r="A7" t="str">
            <v>Third-Place Play-Off</v>
          </cell>
          <cell r="B7" t="str">
            <v>Takimi për vendin e tretë</v>
          </cell>
          <cell r="C7" t="str">
            <v>تحديد المركزين الثالث والرابع</v>
          </cell>
          <cell r="D7" t="str">
            <v>3-րդ տեղի համար եզրափակիչ</v>
          </cell>
          <cell r="E7" t="str">
            <v>Üçüncü Yer Uğrunda</v>
          </cell>
          <cell r="F7" t="str">
            <v>Мач за трето място</v>
          </cell>
          <cell r="G7" t="str">
            <v>3r i 4t lloc</v>
          </cell>
          <cell r="H7" t="str">
            <v>季军赛</v>
          </cell>
          <cell r="I7" t="str">
            <v>季軍賽</v>
          </cell>
          <cell r="J7" t="str">
            <v>Za treće mjesto</v>
          </cell>
          <cell r="K7" t="str">
            <v>Zápas o 3.místo</v>
          </cell>
          <cell r="L7" t="str">
            <v>Tredjeplads Kamp</v>
          </cell>
          <cell r="M7" t="str">
            <v>Derde en vierde plaats</v>
          </cell>
          <cell r="N7" t="str">
            <v>Match pour la troisième place</v>
          </cell>
          <cell r="O7" t="str">
            <v>მესამე ადგილი</v>
          </cell>
          <cell r="P7" t="str">
            <v>Spiel um den dritten Platz</v>
          </cell>
          <cell r="Q7" t="str">
            <v>Μικρός Τελικός</v>
          </cell>
          <cell r="R7" t="str">
            <v>מקום 3-4</v>
          </cell>
          <cell r="S7" t="str">
            <v>Bronzmeccs</v>
          </cell>
          <cell r="T7" t="str">
            <v>Perebutan Tempat Ketiga</v>
          </cell>
          <cell r="U7" t="str">
            <v>Leikur um 3.sæti</v>
          </cell>
          <cell r="V7" t="str">
            <v>Finale 3°- 4° posto</v>
          </cell>
          <cell r="W7" t="str">
            <v>3,4위전</v>
          </cell>
          <cell r="X7" t="str">
            <v>Rungtynės dėl Trečios Vietos</v>
          </cell>
          <cell r="Y7" t="str">
            <v>Натпревар за трето место</v>
          </cell>
          <cell r="Z7" t="str">
            <v>Final għat-Tielet u r-Raba' Post</v>
          </cell>
          <cell r="AA7" t="str">
            <v>Bronsefinale</v>
          </cell>
          <cell r="AB7" t="str">
            <v>رده بندی</v>
          </cell>
          <cell r="AC7" t="str">
            <v>Mecz o trzecie miejsce</v>
          </cell>
          <cell r="AD7" t="str">
            <v>3º/4º lugar</v>
          </cell>
          <cell r="AE7" t="str">
            <v>Finala mica</v>
          </cell>
          <cell r="AF7" t="str">
            <v>Матч за Третье Место</v>
          </cell>
          <cell r="AG7" t="str">
            <v>Za treće mjesto</v>
          </cell>
          <cell r="AH7" t="str">
            <v xml:space="preserve">Zápas o 3. miesto </v>
          </cell>
          <cell r="AI7" t="str">
            <v>Za tretje mesto</v>
          </cell>
          <cell r="AJ7" t="str">
            <v>Tercer puesto</v>
          </cell>
          <cell r="AK7" t="str">
            <v>Match om tredje pris</v>
          </cell>
          <cell r="AL7" t="str">
            <v>รอบชิงที่ 3</v>
          </cell>
          <cell r="AM7" t="str">
            <v>Üçüncülük Maçı</v>
          </cell>
          <cell r="AN7" t="str">
            <v>Tranh hạng 3</v>
          </cell>
          <cell r="AO7" t="str">
            <v>Матч за третє місце</v>
          </cell>
          <cell r="AP7" t="str">
            <v>تیسرے مقام کے لئے کھیل</v>
          </cell>
          <cell r="AQ7" t="str">
            <v>3-ўрин учун баҳс (Play-Off)</v>
          </cell>
        </row>
        <row r="8">
          <cell r="A8" t="str">
            <v>Final</v>
          </cell>
          <cell r="B8" t="str">
            <v>Finalja</v>
          </cell>
          <cell r="C8" t="str">
            <v>المباراة النهائية</v>
          </cell>
          <cell r="D8" t="str">
            <v>Եզրափակիչ</v>
          </cell>
          <cell r="E8" t="str">
            <v>Final</v>
          </cell>
          <cell r="F8" t="str">
            <v>Финал</v>
          </cell>
          <cell r="G8" t="str">
            <v>Final</v>
          </cell>
          <cell r="H8" t="str">
            <v>总决赛</v>
          </cell>
          <cell r="I8" t="str">
            <v>總決賽</v>
          </cell>
          <cell r="J8" t="str">
            <v>Finale</v>
          </cell>
          <cell r="K8" t="str">
            <v>Finále</v>
          </cell>
          <cell r="L8" t="str">
            <v>Finale</v>
          </cell>
          <cell r="M8" t="str">
            <v>Finale</v>
          </cell>
          <cell r="N8" t="str">
            <v>Finale</v>
          </cell>
          <cell r="O8" t="str">
            <v>ფინალი</v>
          </cell>
          <cell r="P8" t="str">
            <v>Finale</v>
          </cell>
          <cell r="Q8" t="str">
            <v>Τελικός</v>
          </cell>
          <cell r="R8" t="str">
            <v>גמר</v>
          </cell>
          <cell r="S8" t="str">
            <v>Döntő</v>
          </cell>
          <cell r="T8" t="str">
            <v>Final</v>
          </cell>
          <cell r="U8" t="str">
            <v>Úrslit</v>
          </cell>
          <cell r="V8" t="str">
            <v>Finale</v>
          </cell>
          <cell r="W8" t="str">
            <v>결승전</v>
          </cell>
          <cell r="X8" t="str">
            <v>Finalas</v>
          </cell>
          <cell r="Y8" t="str">
            <v>Финале</v>
          </cell>
          <cell r="Z8" t="str">
            <v>Finali</v>
          </cell>
          <cell r="AA8" t="str">
            <v>Finale</v>
          </cell>
          <cell r="AB8" t="str">
            <v>فینال</v>
          </cell>
          <cell r="AC8" t="str">
            <v>Finał</v>
          </cell>
          <cell r="AD8" t="str">
            <v>Final</v>
          </cell>
          <cell r="AE8" t="str">
            <v>FINALA</v>
          </cell>
          <cell r="AF8" t="str">
            <v>Финал</v>
          </cell>
          <cell r="AG8" t="str">
            <v>Finale</v>
          </cell>
          <cell r="AH8" t="str">
            <v>Finále</v>
          </cell>
          <cell r="AI8" t="str">
            <v>Finale</v>
          </cell>
          <cell r="AJ8" t="str">
            <v>Final</v>
          </cell>
          <cell r="AK8" t="str">
            <v>Final</v>
          </cell>
          <cell r="AL8" t="str">
            <v>รอบชิงชนะเลิศ</v>
          </cell>
          <cell r="AM8" t="str">
            <v>Final</v>
          </cell>
          <cell r="AN8" t="str">
            <v>Chung Kết</v>
          </cell>
          <cell r="AO8" t="str">
            <v>Фінал</v>
          </cell>
          <cell r="AP8" t="str">
            <v>فائنل</v>
          </cell>
          <cell r="AQ8" t="str">
            <v>Финал</v>
          </cell>
        </row>
        <row r="9">
          <cell r="A9" t="str">
            <v>Group</v>
          </cell>
          <cell r="B9" t="str">
            <v>Grupi</v>
          </cell>
          <cell r="C9" t="str">
            <v>المجموعة</v>
          </cell>
          <cell r="D9" t="str">
            <v>Խումբ</v>
          </cell>
          <cell r="E9" t="str">
            <v>Qrup</v>
          </cell>
          <cell r="F9" t="str">
            <v>Група</v>
          </cell>
          <cell r="G9" t="str">
            <v>Grup</v>
          </cell>
          <cell r="H9" t="str">
            <v>小组</v>
          </cell>
          <cell r="I9" t="str">
            <v>小組</v>
          </cell>
          <cell r="J9" t="str">
            <v>Grupa</v>
          </cell>
          <cell r="K9" t="str">
            <v>Skupina</v>
          </cell>
          <cell r="L9" t="str">
            <v>Gruppe</v>
          </cell>
          <cell r="M9" t="str">
            <v>Groep</v>
          </cell>
          <cell r="N9" t="str">
            <v>Groupe</v>
          </cell>
          <cell r="O9" t="str">
            <v>ჯგუფი</v>
          </cell>
          <cell r="P9" t="str">
            <v>Gruppe</v>
          </cell>
          <cell r="Q9" t="str">
            <v>Όμιλος</v>
          </cell>
          <cell r="R9" t="str">
            <v>בית</v>
          </cell>
          <cell r="S9" t="str">
            <v>Csoport</v>
          </cell>
          <cell r="T9" t="str">
            <v>Kelompok</v>
          </cell>
          <cell r="U9" t="str">
            <v>Riðill</v>
          </cell>
          <cell r="V9" t="str">
            <v>Gruppo</v>
          </cell>
          <cell r="W9" t="str">
            <v>그룹</v>
          </cell>
          <cell r="X9" t="str">
            <v>Grupė</v>
          </cell>
          <cell r="Y9" t="str">
            <v>Група</v>
          </cell>
          <cell r="Z9" t="str">
            <v>Grupp</v>
          </cell>
          <cell r="AA9" t="str">
            <v>Gruppe</v>
          </cell>
          <cell r="AB9" t="str">
            <v>گروه</v>
          </cell>
          <cell r="AC9" t="str">
            <v>Grupa</v>
          </cell>
          <cell r="AD9" t="str">
            <v>Grupo</v>
          </cell>
          <cell r="AE9" t="str">
            <v>Grupa</v>
          </cell>
          <cell r="AF9" t="str">
            <v>Группа</v>
          </cell>
          <cell r="AG9" t="str">
            <v>Grupa</v>
          </cell>
          <cell r="AH9" t="str">
            <v>Skupina</v>
          </cell>
          <cell r="AI9" t="str">
            <v>Skupina</v>
          </cell>
          <cell r="AJ9" t="str">
            <v>Grupo</v>
          </cell>
          <cell r="AK9" t="str">
            <v>Grupp</v>
          </cell>
          <cell r="AL9" t="str">
            <v>สาย</v>
          </cell>
          <cell r="AM9" t="str">
            <v>Grup</v>
          </cell>
          <cell r="AN9" t="str">
            <v>Bảng</v>
          </cell>
          <cell r="AO9" t="str">
            <v>Група</v>
          </cell>
          <cell r="AP9" t="str">
            <v>گروپ بندی</v>
          </cell>
          <cell r="AQ9" t="str">
            <v>Гуруҳ</v>
          </cell>
        </row>
        <row r="10">
          <cell r="A10" t="str">
            <v>PL</v>
          </cell>
          <cell r="B10" t="str">
            <v>L</v>
          </cell>
          <cell r="C10" t="str">
            <v>لعب</v>
          </cell>
          <cell r="D10" t="str">
            <v>Խ</v>
          </cell>
          <cell r="E10" t="str">
            <v>O</v>
          </cell>
          <cell r="F10" t="str">
            <v>М</v>
          </cell>
          <cell r="G10" t="str">
            <v>J</v>
          </cell>
          <cell r="H10" t="str">
            <v>场次</v>
          </cell>
          <cell r="I10" t="str">
            <v>賽</v>
          </cell>
          <cell r="J10" t="str">
            <v>PL</v>
          </cell>
          <cell r="K10" t="str">
            <v>Z</v>
          </cell>
          <cell r="L10" t="str">
            <v>SP</v>
          </cell>
          <cell r="M10" t="str">
            <v>WG</v>
          </cell>
          <cell r="N10" t="str">
            <v>J</v>
          </cell>
          <cell r="O10" t="str">
            <v>თ</v>
          </cell>
          <cell r="P10" t="str">
            <v>SP</v>
          </cell>
          <cell r="Q10" t="str">
            <v>ΑΓ</v>
          </cell>
          <cell r="R10" t="str">
            <v>משחקים</v>
          </cell>
          <cell r="S10" t="str">
            <v>M</v>
          </cell>
          <cell r="T10" t="str">
            <v>Main</v>
          </cell>
          <cell r="U10" t="str">
            <v>L</v>
          </cell>
          <cell r="V10" t="str">
            <v>G</v>
          </cell>
          <cell r="W10" t="str">
            <v>경기</v>
          </cell>
          <cell r="X10" t="str">
            <v>Žst</v>
          </cell>
          <cell r="Y10" t="str">
            <v>О</v>
          </cell>
          <cell r="Z10" t="str">
            <v>L</v>
          </cell>
          <cell r="AA10" t="str">
            <v>S</v>
          </cell>
          <cell r="AB10" t="str">
            <v>بازی</v>
          </cell>
          <cell r="AC10" t="str">
            <v>M</v>
          </cell>
          <cell r="AD10" t="str">
            <v>J</v>
          </cell>
          <cell r="AE10" t="str">
            <v>J</v>
          </cell>
          <cell r="AF10" t="str">
            <v>И</v>
          </cell>
          <cell r="AG10" t="str">
            <v>UT</v>
          </cell>
          <cell r="AH10" t="str">
            <v>Z</v>
          </cell>
          <cell r="AI10" t="str">
            <v>PL</v>
          </cell>
          <cell r="AJ10" t="str">
            <v>J</v>
          </cell>
          <cell r="AK10" t="str">
            <v>Sp</v>
          </cell>
          <cell r="AL10" t="str">
            <v>แข่ง</v>
          </cell>
          <cell r="AM10" t="str">
            <v>O</v>
          </cell>
          <cell r="AN10" t="str">
            <v>Trận</v>
          </cell>
          <cell r="AO10" t="str">
            <v>І</v>
          </cell>
          <cell r="AP10" t="str">
            <v>کھیلے گئے مقابلے</v>
          </cell>
          <cell r="AQ10" t="str">
            <v>Ў</v>
          </cell>
        </row>
        <row r="11">
          <cell r="A11" t="str">
            <v>W</v>
          </cell>
          <cell r="B11" t="str">
            <v>F</v>
          </cell>
          <cell r="C11" t="str">
            <v>فاز</v>
          </cell>
          <cell r="D11" t="str">
            <v>Հ</v>
          </cell>
          <cell r="E11" t="str">
            <v>Q</v>
          </cell>
          <cell r="F11" t="str">
            <v>П</v>
          </cell>
          <cell r="G11" t="str">
            <v>G</v>
          </cell>
          <cell r="H11" t="str">
            <v>胜</v>
          </cell>
          <cell r="I11" t="str">
            <v>勝</v>
          </cell>
          <cell r="J11" t="str">
            <v>W</v>
          </cell>
          <cell r="K11" t="str">
            <v>V</v>
          </cell>
          <cell r="L11" t="str">
            <v>V</v>
          </cell>
          <cell r="M11" t="str">
            <v>W</v>
          </cell>
          <cell r="N11" t="str">
            <v>V</v>
          </cell>
          <cell r="O11" t="str">
            <v>მოგ</v>
          </cell>
          <cell r="P11" t="str">
            <v>S</v>
          </cell>
          <cell r="Q11" t="str">
            <v>Ν</v>
          </cell>
          <cell r="R11" t="str">
            <v>נצחונות</v>
          </cell>
          <cell r="S11" t="str">
            <v>GY</v>
          </cell>
          <cell r="T11" t="str">
            <v>Menang</v>
          </cell>
          <cell r="U11" t="str">
            <v>U</v>
          </cell>
          <cell r="V11" t="str">
            <v>V</v>
          </cell>
          <cell r="W11" t="str">
            <v>승</v>
          </cell>
          <cell r="X11" t="str">
            <v>L</v>
          </cell>
          <cell r="Y11" t="str">
            <v>П</v>
          </cell>
          <cell r="Z11" t="str">
            <v>R</v>
          </cell>
          <cell r="AA11" t="str">
            <v>V</v>
          </cell>
          <cell r="AB11" t="str">
            <v>برد</v>
          </cell>
          <cell r="AC11" t="str">
            <v>Z</v>
          </cell>
          <cell r="AD11" t="str">
            <v>V</v>
          </cell>
          <cell r="AE11" t="str">
            <v>V</v>
          </cell>
          <cell r="AF11" t="str">
            <v>В</v>
          </cell>
          <cell r="AG11" t="str">
            <v>P</v>
          </cell>
          <cell r="AH11" t="str">
            <v>V</v>
          </cell>
          <cell r="AI11" t="str">
            <v>W</v>
          </cell>
          <cell r="AJ11" t="str">
            <v>G</v>
          </cell>
          <cell r="AK11" t="str">
            <v>V</v>
          </cell>
          <cell r="AL11" t="str">
            <v>ชนะ</v>
          </cell>
          <cell r="AM11" t="str">
            <v>G</v>
          </cell>
          <cell r="AN11" t="str">
            <v>T</v>
          </cell>
          <cell r="AO11" t="str">
            <v>В</v>
          </cell>
          <cell r="AP11" t="str">
            <v>جیت</v>
          </cell>
          <cell r="AQ11" t="str">
            <v>Ю</v>
          </cell>
        </row>
        <row r="12">
          <cell r="A12" t="str">
            <v>DRAW</v>
          </cell>
          <cell r="B12" t="str">
            <v>BAR</v>
          </cell>
          <cell r="C12" t="str">
            <v>تعادل</v>
          </cell>
          <cell r="D12" t="str">
            <v>Ո</v>
          </cell>
          <cell r="E12" t="str">
            <v>H</v>
          </cell>
          <cell r="F12" t="str">
            <v>Р</v>
          </cell>
          <cell r="G12" t="str">
            <v>E</v>
          </cell>
          <cell r="H12" t="str">
            <v>平</v>
          </cell>
          <cell r="I12" t="str">
            <v>和</v>
          </cell>
          <cell r="J12" t="str">
            <v>DRAW</v>
          </cell>
          <cell r="K12" t="str">
            <v>R</v>
          </cell>
          <cell r="L12" t="str">
            <v>Uafgjort</v>
          </cell>
          <cell r="M12" t="str">
            <v>G</v>
          </cell>
          <cell r="N12" t="str">
            <v>DRAW</v>
          </cell>
          <cell r="O12" t="str">
            <v>ფრე</v>
          </cell>
          <cell r="P12" t="str">
            <v>DRAW</v>
          </cell>
          <cell r="Q12" t="str">
            <v>Ι</v>
          </cell>
          <cell r="R12" t="str">
            <v>תיקו</v>
          </cell>
          <cell r="S12" t="str">
            <v>D</v>
          </cell>
          <cell r="T12" t="str">
            <v>Seri</v>
          </cell>
          <cell r="U12" t="str">
            <v>Jafnt</v>
          </cell>
          <cell r="V12" t="str">
            <v>P</v>
          </cell>
          <cell r="W12" t="str">
            <v>무</v>
          </cell>
          <cell r="X12" t="str">
            <v>Lyg</v>
          </cell>
          <cell r="Y12" t="str">
            <v>Н</v>
          </cell>
          <cell r="Z12" t="str">
            <v>I</v>
          </cell>
          <cell r="AA12" t="str">
            <v>T</v>
          </cell>
          <cell r="AB12" t="str">
            <v>مساوی</v>
          </cell>
          <cell r="AC12" t="str">
            <v>R</v>
          </cell>
          <cell r="AD12" t="str">
            <v>E</v>
          </cell>
          <cell r="AE12" t="str">
            <v>E</v>
          </cell>
          <cell r="AF12" t="str">
            <v>Н</v>
          </cell>
          <cell r="AG12" t="str">
            <v>NER.</v>
          </cell>
          <cell r="AH12" t="str">
            <v>R</v>
          </cell>
          <cell r="AI12" t="str">
            <v>DRAW</v>
          </cell>
          <cell r="AJ12" t="str">
            <v>DRAW</v>
          </cell>
          <cell r="AK12" t="str">
            <v>O</v>
          </cell>
          <cell r="AL12" t="str">
            <v>เสมอ</v>
          </cell>
          <cell r="AM12" t="str">
            <v>B</v>
          </cell>
          <cell r="AN12" t="str">
            <v>H</v>
          </cell>
          <cell r="AO12" t="str">
            <v>Н</v>
          </cell>
          <cell r="AP12" t="str">
            <v>برابر</v>
          </cell>
          <cell r="AQ12" t="str">
            <v>Д</v>
          </cell>
        </row>
        <row r="13">
          <cell r="A13" t="str">
            <v>L</v>
          </cell>
          <cell r="B13" t="str">
            <v>H</v>
          </cell>
          <cell r="C13" t="str">
            <v>خسر</v>
          </cell>
          <cell r="D13" t="str">
            <v>Պ</v>
          </cell>
          <cell r="E13" t="str">
            <v>M</v>
          </cell>
          <cell r="F13" t="str">
            <v>З</v>
          </cell>
          <cell r="G13" t="str">
            <v>P</v>
          </cell>
          <cell r="H13" t="str">
            <v>负</v>
          </cell>
          <cell r="I13" t="str">
            <v>負</v>
          </cell>
          <cell r="J13" t="str">
            <v>L</v>
          </cell>
          <cell r="K13" t="str">
            <v>P</v>
          </cell>
          <cell r="L13" t="str">
            <v>T</v>
          </cell>
          <cell r="M13" t="str">
            <v>V</v>
          </cell>
          <cell r="N13" t="str">
            <v>D</v>
          </cell>
          <cell r="O13" t="str">
            <v>წაგ</v>
          </cell>
          <cell r="P13" t="str">
            <v>N</v>
          </cell>
          <cell r="Q13" t="str">
            <v xml:space="preserve">Η </v>
          </cell>
          <cell r="R13" t="str">
            <v>הפסדים</v>
          </cell>
          <cell r="S13" t="str">
            <v>V</v>
          </cell>
          <cell r="T13" t="str">
            <v>Kalah</v>
          </cell>
          <cell r="U13" t="str">
            <v>T</v>
          </cell>
          <cell r="V13" t="str">
            <v>S</v>
          </cell>
          <cell r="W13" t="str">
            <v>패</v>
          </cell>
          <cell r="X13" t="str">
            <v>P</v>
          </cell>
          <cell r="Y13" t="str">
            <v>И</v>
          </cell>
          <cell r="Z13" t="str">
            <v>T</v>
          </cell>
          <cell r="AA13" t="str">
            <v>U</v>
          </cell>
          <cell r="AB13" t="str">
            <v>باخت</v>
          </cell>
          <cell r="AC13" t="str">
            <v>P</v>
          </cell>
          <cell r="AD13" t="str">
            <v>D</v>
          </cell>
          <cell r="AE13" t="str">
            <v>I</v>
          </cell>
          <cell r="AF13" t="str">
            <v>П</v>
          </cell>
          <cell r="AG13" t="str">
            <v>I</v>
          </cell>
          <cell r="AH13" t="str">
            <v>P</v>
          </cell>
          <cell r="AI13" t="str">
            <v>L</v>
          </cell>
          <cell r="AJ13" t="str">
            <v>P</v>
          </cell>
          <cell r="AK13" t="str">
            <v>F</v>
          </cell>
          <cell r="AL13" t="str">
            <v>แพ้</v>
          </cell>
          <cell r="AM13" t="str">
            <v>M</v>
          </cell>
          <cell r="AN13" t="str">
            <v>B</v>
          </cell>
          <cell r="AO13" t="str">
            <v>П</v>
          </cell>
          <cell r="AP13" t="str">
            <v>ہارے گئے مقابلے</v>
          </cell>
          <cell r="AQ13" t="str">
            <v>М</v>
          </cell>
        </row>
        <row r="14">
          <cell r="A14" t="str">
            <v>GF - GA</v>
          </cell>
          <cell r="B14" t="str">
            <v>GSH-GP</v>
          </cell>
          <cell r="C14" t="str">
            <v>عليه - له</v>
          </cell>
          <cell r="D14" t="str">
            <v>ԽԳ-ԲԳ</v>
          </cell>
          <cell r="E14" t="str">
            <v>QV - QB</v>
          </cell>
          <cell r="F14" t="str">
            <v>Гол. Разл.</v>
          </cell>
          <cell r="G14" t="str">
            <v>GF - GC</v>
          </cell>
          <cell r="H14" t="str">
            <v>得失球</v>
          </cell>
          <cell r="I14" t="str">
            <v>得球 - 失球</v>
          </cell>
          <cell r="J14" t="str">
            <v>GF - GA</v>
          </cell>
          <cell r="K14" t="str">
            <v>GV - GI</v>
          </cell>
          <cell r="L14" t="str">
            <v>MF - MI</v>
          </cell>
          <cell r="M14" t="str">
            <v>DV-DT</v>
          </cell>
          <cell r="N14" t="str">
            <v>BP - BC</v>
          </cell>
          <cell r="O14" t="str">
            <v>გგ - მგ</v>
          </cell>
          <cell r="P14" t="str">
            <v>ET - KT</v>
          </cell>
          <cell r="Q14" t="str">
            <v>Υ-Κ</v>
          </cell>
          <cell r="R14" t="str">
            <v>יחס שערים</v>
          </cell>
          <cell r="S14" t="str">
            <v>Gólkül.</v>
          </cell>
          <cell r="T14" t="str">
            <v xml:space="preserve">Skor </v>
          </cell>
          <cell r="U14" t="str">
            <v>S - F</v>
          </cell>
          <cell r="V14" t="str">
            <v>GF - GS</v>
          </cell>
          <cell r="W14" t="str">
            <v>골득실</v>
          </cell>
          <cell r="X14" t="str">
            <v>Įm - Pr</v>
          </cell>
          <cell r="Y14" t="str">
            <v>Разлика</v>
          </cell>
          <cell r="Z14" t="str">
            <v>GF - GK</v>
          </cell>
          <cell r="AA14" t="str">
            <v>Mål</v>
          </cell>
          <cell r="AB14" t="str">
            <v>خورده-زده</v>
          </cell>
          <cell r="AC14" t="str">
            <v>Z - S</v>
          </cell>
          <cell r="AD14" t="str">
            <v>GM - GS</v>
          </cell>
          <cell r="AE14" t="str">
            <v>GM - GP</v>
          </cell>
          <cell r="AF14" t="str">
            <v>З - П</v>
          </cell>
          <cell r="AG14" t="str">
            <v>GD - GP</v>
          </cell>
          <cell r="AH14" t="str">
            <v>GS-GI</v>
          </cell>
          <cell r="AI14" t="str">
            <v>GF - GA</v>
          </cell>
          <cell r="AJ14" t="str">
            <v>GF - GC</v>
          </cell>
          <cell r="AK14" t="str">
            <v>GM – IM</v>
          </cell>
          <cell r="AL14" t="str">
            <v>ได้ - เสีย</v>
          </cell>
          <cell r="AM14" t="str">
            <v>A - Y</v>
          </cell>
          <cell r="AN14" t="str">
            <v>Hiệu số</v>
          </cell>
          <cell r="AO14" t="str">
            <v xml:space="preserve">М </v>
          </cell>
          <cell r="AP14" t="str">
            <v>گول کئے- انکے خلاف گول کئے گئے</v>
          </cell>
          <cell r="AQ14" t="str">
            <v>КиритГол-ЎткГол</v>
          </cell>
        </row>
        <row r="15">
          <cell r="A15" t="str">
            <v>PNT</v>
          </cell>
          <cell r="B15" t="str">
            <v>PIK</v>
          </cell>
          <cell r="C15" t="str">
            <v>النقاط</v>
          </cell>
          <cell r="D15" t="str">
            <v>Մ</v>
          </cell>
          <cell r="E15" t="str">
            <v>Xal</v>
          </cell>
          <cell r="F15" t="str">
            <v>Т</v>
          </cell>
          <cell r="G15" t="str">
            <v>Punts</v>
          </cell>
          <cell r="H15" t="str">
            <v>积分</v>
          </cell>
          <cell r="I15" t="str">
            <v>分數</v>
          </cell>
          <cell r="J15" t="str">
            <v>PNT</v>
          </cell>
          <cell r="K15" t="str">
            <v>Body</v>
          </cell>
          <cell r="L15" t="str">
            <v>PNT</v>
          </cell>
          <cell r="M15" t="str">
            <v>PNT</v>
          </cell>
          <cell r="N15" t="str">
            <v>PTS</v>
          </cell>
          <cell r="O15" t="str">
            <v>ქულა</v>
          </cell>
          <cell r="P15" t="str">
            <v>PKT</v>
          </cell>
          <cell r="Q15" t="str">
            <v>ΒΘ</v>
          </cell>
          <cell r="R15" t="str">
            <v>נקודות</v>
          </cell>
          <cell r="S15" t="str">
            <v>PNT</v>
          </cell>
          <cell r="T15" t="str">
            <v>Nilai</v>
          </cell>
          <cell r="U15" t="str">
            <v>Stig</v>
          </cell>
          <cell r="V15" t="str">
            <v>Punti</v>
          </cell>
          <cell r="W15" t="str">
            <v>승점</v>
          </cell>
          <cell r="X15" t="str">
            <v>Tšk</v>
          </cell>
          <cell r="Y15" t="str">
            <v>Б</v>
          </cell>
          <cell r="Z15" t="str">
            <v>P</v>
          </cell>
          <cell r="AA15" t="str">
            <v>P</v>
          </cell>
          <cell r="AB15" t="str">
            <v>امتیاز</v>
          </cell>
          <cell r="AC15" t="str">
            <v>Pkt</v>
          </cell>
          <cell r="AD15" t="str">
            <v>P</v>
          </cell>
          <cell r="AE15" t="str">
            <v>P</v>
          </cell>
          <cell r="AF15" t="str">
            <v>ОЧКИ</v>
          </cell>
          <cell r="AG15" t="str">
            <v>BOD</v>
          </cell>
          <cell r="AH15" t="str">
            <v>Body</v>
          </cell>
          <cell r="AI15" t="str">
            <v>PNT</v>
          </cell>
          <cell r="AJ15" t="str">
            <v>PTS</v>
          </cell>
          <cell r="AK15" t="str">
            <v>P</v>
          </cell>
          <cell r="AL15" t="str">
            <v>คะแนน</v>
          </cell>
          <cell r="AM15" t="str">
            <v>P</v>
          </cell>
          <cell r="AN15" t="str">
            <v>Điểm</v>
          </cell>
          <cell r="AO15" t="str">
            <v>О</v>
          </cell>
          <cell r="AP15" t="str">
            <v>نشان</v>
          </cell>
          <cell r="AQ15" t="str">
            <v>Очколар</v>
          </cell>
        </row>
        <row r="18">
          <cell r="A18" t="str">
            <v>Sun</v>
          </cell>
          <cell r="B18" t="str">
            <v>Diel</v>
          </cell>
          <cell r="C18" t="str">
            <v>الأحد</v>
          </cell>
          <cell r="D18" t="str">
            <v>Կիր.</v>
          </cell>
          <cell r="E18" t="str">
            <v>B</v>
          </cell>
          <cell r="F18" t="str">
            <v>Нед</v>
          </cell>
          <cell r="G18" t="str">
            <v>Diu</v>
          </cell>
          <cell r="H18" t="str">
            <v>周日</v>
          </cell>
          <cell r="I18" t="str">
            <v>Sun</v>
          </cell>
          <cell r="J18" t="str">
            <v>Ned</v>
          </cell>
          <cell r="K18" t="str">
            <v>Ne</v>
          </cell>
          <cell r="L18" t="str">
            <v>Søn</v>
          </cell>
          <cell r="M18" t="str">
            <v>Zo</v>
          </cell>
          <cell r="N18" t="str">
            <v>Sun</v>
          </cell>
          <cell r="O18" t="str">
            <v>კვირა</v>
          </cell>
          <cell r="P18" t="str">
            <v>Sun</v>
          </cell>
          <cell r="Q18" t="str">
            <v>Κυρ</v>
          </cell>
          <cell r="R18" t="str">
            <v>ראשון</v>
          </cell>
          <cell r="S18" t="str">
            <v>Vas</v>
          </cell>
          <cell r="T18" t="str">
            <v>Min</v>
          </cell>
          <cell r="U18" t="str">
            <v>Sun</v>
          </cell>
          <cell r="V18" t="str">
            <v>Dom</v>
          </cell>
          <cell r="W18" t="str">
            <v>일</v>
          </cell>
          <cell r="X18" t="str">
            <v>Sekm</v>
          </cell>
          <cell r="Y18" t="str">
            <v>Нед</v>
          </cell>
          <cell r="Z18" t="str">
            <v>Ħad</v>
          </cell>
          <cell r="AA18" t="str">
            <v>Søn</v>
          </cell>
          <cell r="AB18" t="str">
            <v>یکشنبه</v>
          </cell>
          <cell r="AC18" t="str">
            <v>Nd</v>
          </cell>
          <cell r="AD18" t="str">
            <v>Dom</v>
          </cell>
          <cell r="AE18" t="str">
            <v>Dum</v>
          </cell>
          <cell r="AF18" t="str">
            <v>Вс</v>
          </cell>
          <cell r="AG18" t="str">
            <v>Ned</v>
          </cell>
          <cell r="AH18" t="str">
            <v>Ne</v>
          </cell>
          <cell r="AI18" t="str">
            <v>Ned</v>
          </cell>
          <cell r="AJ18" t="str">
            <v>Sun</v>
          </cell>
          <cell r="AK18" t="str">
            <v>Sön</v>
          </cell>
          <cell r="AL18" t="str">
            <v>อาทิตย์</v>
          </cell>
          <cell r="AM18" t="str">
            <v>Paz</v>
          </cell>
          <cell r="AN18" t="str">
            <v>CN</v>
          </cell>
          <cell r="AO18" t="str">
            <v>Нд</v>
          </cell>
          <cell r="AP18" t="str">
            <v>اتوار</v>
          </cell>
          <cell r="AQ18" t="str">
            <v>Якш</v>
          </cell>
        </row>
        <row r="19">
          <cell r="A19" t="str">
            <v>Mon</v>
          </cell>
          <cell r="B19" t="str">
            <v>Hënë</v>
          </cell>
          <cell r="C19" t="str">
            <v>الاثنين</v>
          </cell>
          <cell r="D19" t="str">
            <v>Երկ.</v>
          </cell>
          <cell r="E19" t="str">
            <v>BE</v>
          </cell>
          <cell r="F19" t="str">
            <v>Пон</v>
          </cell>
          <cell r="G19" t="str">
            <v>Dil</v>
          </cell>
          <cell r="H19" t="str">
            <v>周一</v>
          </cell>
          <cell r="I19" t="str">
            <v>Mon</v>
          </cell>
          <cell r="J19" t="str">
            <v>Pon</v>
          </cell>
          <cell r="K19" t="str">
            <v>Po</v>
          </cell>
          <cell r="L19" t="str">
            <v>Man</v>
          </cell>
          <cell r="M19" t="str">
            <v>Ma</v>
          </cell>
          <cell r="N19" t="str">
            <v>Mon</v>
          </cell>
          <cell r="O19" t="str">
            <v>ორშ</v>
          </cell>
          <cell r="P19" t="str">
            <v>Mon</v>
          </cell>
          <cell r="Q19" t="str">
            <v>Δευ</v>
          </cell>
          <cell r="R19" t="str">
            <v>שני</v>
          </cell>
          <cell r="S19" t="str">
            <v>Hét</v>
          </cell>
          <cell r="T19" t="str">
            <v>Sen</v>
          </cell>
          <cell r="U19" t="str">
            <v>Mán</v>
          </cell>
          <cell r="V19" t="str">
            <v>Lun</v>
          </cell>
          <cell r="W19" t="str">
            <v>월</v>
          </cell>
          <cell r="X19" t="str">
            <v>Pirm</v>
          </cell>
          <cell r="Y19" t="str">
            <v>Пон</v>
          </cell>
          <cell r="Z19" t="str">
            <v>Tne</v>
          </cell>
          <cell r="AA19" t="str">
            <v>Man</v>
          </cell>
          <cell r="AB19" t="str">
            <v>دوشنبه</v>
          </cell>
          <cell r="AC19" t="str">
            <v>Pn</v>
          </cell>
          <cell r="AD19" t="str">
            <v>Seg</v>
          </cell>
          <cell r="AE19" t="str">
            <v>Lun</v>
          </cell>
          <cell r="AF19" t="str">
            <v>Пн</v>
          </cell>
          <cell r="AG19" t="str">
            <v>Pon</v>
          </cell>
          <cell r="AH19" t="str">
            <v>Po</v>
          </cell>
          <cell r="AI19" t="str">
            <v>Pon</v>
          </cell>
          <cell r="AJ19" t="str">
            <v>Mon</v>
          </cell>
          <cell r="AK19" t="str">
            <v>Mån</v>
          </cell>
          <cell r="AL19" t="str">
            <v>จันทร์</v>
          </cell>
          <cell r="AM19" t="str">
            <v>Pzt</v>
          </cell>
          <cell r="AN19" t="str">
            <v>T2</v>
          </cell>
          <cell r="AO19" t="str">
            <v>Пн</v>
          </cell>
          <cell r="AP19" t="str">
            <v>پیر</v>
          </cell>
          <cell r="AQ19" t="str">
            <v>Душ</v>
          </cell>
        </row>
        <row r="20">
          <cell r="A20" t="str">
            <v>Tue</v>
          </cell>
          <cell r="B20" t="str">
            <v>Mar</v>
          </cell>
          <cell r="C20" t="str">
            <v>الثلاثاء</v>
          </cell>
          <cell r="D20" t="str">
            <v>Երեք.</v>
          </cell>
          <cell r="E20" t="str">
            <v>ÇA</v>
          </cell>
          <cell r="F20" t="str">
            <v>Вт</v>
          </cell>
          <cell r="G20" t="str">
            <v>Dim</v>
          </cell>
          <cell r="H20" t="str">
            <v>周二</v>
          </cell>
          <cell r="I20" t="str">
            <v>Tue</v>
          </cell>
          <cell r="J20" t="str">
            <v>Uto</v>
          </cell>
          <cell r="K20" t="str">
            <v>Út</v>
          </cell>
          <cell r="L20" t="str">
            <v>Tir</v>
          </cell>
          <cell r="M20" t="str">
            <v>Di</v>
          </cell>
          <cell r="N20" t="str">
            <v>Tue</v>
          </cell>
          <cell r="O20" t="str">
            <v>სამშ</v>
          </cell>
          <cell r="P20" t="str">
            <v>Tue</v>
          </cell>
          <cell r="Q20" t="str">
            <v>Τρι</v>
          </cell>
          <cell r="R20" t="str">
            <v>שלישי</v>
          </cell>
          <cell r="S20" t="str">
            <v>Ke</v>
          </cell>
          <cell r="T20" t="str">
            <v>Sel</v>
          </cell>
          <cell r="U20" t="str">
            <v>Þri</v>
          </cell>
          <cell r="V20" t="str">
            <v>Mar</v>
          </cell>
          <cell r="W20" t="str">
            <v>화</v>
          </cell>
          <cell r="X20" t="str">
            <v>Antr</v>
          </cell>
          <cell r="Y20" t="str">
            <v>Вто</v>
          </cell>
          <cell r="Z20" t="str">
            <v>Tli</v>
          </cell>
          <cell r="AA20" t="str">
            <v>Tirs</v>
          </cell>
          <cell r="AB20" t="str">
            <v>سه شنبه</v>
          </cell>
          <cell r="AC20" t="str">
            <v>Wt</v>
          </cell>
          <cell r="AD20" t="str">
            <v>Ter</v>
          </cell>
          <cell r="AE20" t="str">
            <v>Mar</v>
          </cell>
          <cell r="AF20" t="str">
            <v>Вт</v>
          </cell>
          <cell r="AG20" t="str">
            <v>Uto</v>
          </cell>
          <cell r="AH20" t="str">
            <v>Ut</v>
          </cell>
          <cell r="AI20" t="str">
            <v>Tor</v>
          </cell>
          <cell r="AJ20" t="str">
            <v>Tue</v>
          </cell>
          <cell r="AK20" t="str">
            <v>Tis</v>
          </cell>
          <cell r="AL20" t="str">
            <v>อังคาร</v>
          </cell>
          <cell r="AM20" t="str">
            <v>Sal</v>
          </cell>
          <cell r="AN20" t="str">
            <v>T3</v>
          </cell>
          <cell r="AO20" t="str">
            <v>Вт</v>
          </cell>
          <cell r="AP20" t="str">
            <v>منگل</v>
          </cell>
          <cell r="AQ20" t="str">
            <v>Сеш</v>
          </cell>
        </row>
        <row r="21">
          <cell r="A21" t="str">
            <v>Wed</v>
          </cell>
          <cell r="B21" t="str">
            <v>Mër</v>
          </cell>
          <cell r="C21" t="str">
            <v>الأربعاء</v>
          </cell>
          <cell r="D21" t="str">
            <v>Չոր.</v>
          </cell>
          <cell r="E21" t="str">
            <v>Ç</v>
          </cell>
          <cell r="F21" t="str">
            <v>Сря</v>
          </cell>
          <cell r="G21" t="str">
            <v>Dix</v>
          </cell>
          <cell r="H21" t="str">
            <v>周三</v>
          </cell>
          <cell r="I21" t="str">
            <v>Wed</v>
          </cell>
          <cell r="J21" t="str">
            <v>Sri</v>
          </cell>
          <cell r="K21" t="str">
            <v>St</v>
          </cell>
          <cell r="L21" t="str">
            <v>Ons</v>
          </cell>
          <cell r="M21" t="str">
            <v>Wo</v>
          </cell>
          <cell r="N21" t="str">
            <v>Wed</v>
          </cell>
          <cell r="O21" t="str">
            <v>ოთხშ</v>
          </cell>
          <cell r="P21" t="str">
            <v>Wed</v>
          </cell>
          <cell r="Q21" t="str">
            <v>Τετ</v>
          </cell>
          <cell r="R21" t="str">
            <v>רביעי</v>
          </cell>
          <cell r="S21" t="str">
            <v>Sze</v>
          </cell>
          <cell r="T21" t="str">
            <v>Rab</v>
          </cell>
          <cell r="U21" t="str">
            <v>Mið</v>
          </cell>
          <cell r="V21" t="str">
            <v>Mer</v>
          </cell>
          <cell r="W21" t="str">
            <v>수</v>
          </cell>
          <cell r="X21" t="str">
            <v>Treč</v>
          </cell>
          <cell r="Y21" t="str">
            <v>Сре</v>
          </cell>
          <cell r="Z21" t="str">
            <v>Erb</v>
          </cell>
          <cell r="AA21" t="str">
            <v>Ons</v>
          </cell>
          <cell r="AB21" t="str">
            <v>چهارشنبه</v>
          </cell>
          <cell r="AC21" t="str">
            <v>Śr</v>
          </cell>
          <cell r="AD21" t="str">
            <v>Qua</v>
          </cell>
          <cell r="AE21" t="str">
            <v>Mie</v>
          </cell>
          <cell r="AF21" t="str">
            <v>Ср</v>
          </cell>
          <cell r="AG21" t="str">
            <v>Sre</v>
          </cell>
          <cell r="AH21" t="str">
            <v>St</v>
          </cell>
          <cell r="AI21" t="str">
            <v>Sre</v>
          </cell>
          <cell r="AJ21" t="str">
            <v>Wed</v>
          </cell>
          <cell r="AK21" t="str">
            <v>Ons</v>
          </cell>
          <cell r="AL21" t="str">
            <v>พุธ</v>
          </cell>
          <cell r="AM21" t="str">
            <v>Çar</v>
          </cell>
          <cell r="AN21" t="str">
            <v>T4</v>
          </cell>
          <cell r="AO21" t="str">
            <v>Ср</v>
          </cell>
          <cell r="AP21" t="str">
            <v>بدھ</v>
          </cell>
          <cell r="AQ21" t="str">
            <v>Чор</v>
          </cell>
        </row>
        <row r="22">
          <cell r="A22" t="str">
            <v>Thu</v>
          </cell>
          <cell r="B22" t="str">
            <v>Enjt</v>
          </cell>
          <cell r="C22" t="str">
            <v>الخميس</v>
          </cell>
          <cell r="D22" t="str">
            <v>Հինգ.</v>
          </cell>
          <cell r="E22" t="str">
            <v>CA</v>
          </cell>
          <cell r="F22" t="str">
            <v>Четв</v>
          </cell>
          <cell r="G22" t="str">
            <v>Dij</v>
          </cell>
          <cell r="H22" t="str">
            <v>周四</v>
          </cell>
          <cell r="I22" t="str">
            <v>Thu</v>
          </cell>
          <cell r="J22" t="str">
            <v>Čet</v>
          </cell>
          <cell r="K22" t="str">
            <v>Čt</v>
          </cell>
          <cell r="L22" t="str">
            <v>Tor</v>
          </cell>
          <cell r="M22" t="str">
            <v>Do</v>
          </cell>
          <cell r="N22" t="str">
            <v>Thu</v>
          </cell>
          <cell r="O22" t="str">
            <v>ხუთშ</v>
          </cell>
          <cell r="P22" t="str">
            <v>Thu</v>
          </cell>
          <cell r="Q22" t="str">
            <v>Πεμ</v>
          </cell>
          <cell r="R22" t="str">
            <v>חמישי</v>
          </cell>
          <cell r="S22" t="str">
            <v>Csü</v>
          </cell>
          <cell r="T22" t="str">
            <v>Kam</v>
          </cell>
          <cell r="U22" t="str">
            <v>Fim</v>
          </cell>
          <cell r="V22" t="str">
            <v>Gio</v>
          </cell>
          <cell r="W22" t="str">
            <v>목</v>
          </cell>
          <cell r="X22" t="str">
            <v>Ketv</v>
          </cell>
          <cell r="Y22" t="str">
            <v>Чет</v>
          </cell>
          <cell r="Z22" t="str">
            <v>Ħam</v>
          </cell>
          <cell r="AA22" t="str">
            <v>Tors</v>
          </cell>
          <cell r="AB22" t="str">
            <v>پنجشنبه</v>
          </cell>
          <cell r="AC22" t="str">
            <v>Cz</v>
          </cell>
          <cell r="AD22" t="str">
            <v>Qui</v>
          </cell>
          <cell r="AE22" t="str">
            <v>Joi</v>
          </cell>
          <cell r="AF22" t="str">
            <v>Чт</v>
          </cell>
          <cell r="AG22" t="str">
            <v>Čet</v>
          </cell>
          <cell r="AH22" t="str">
            <v>Št</v>
          </cell>
          <cell r="AI22" t="str">
            <v>Čet</v>
          </cell>
          <cell r="AJ22" t="str">
            <v>Thu</v>
          </cell>
          <cell r="AK22" t="str">
            <v>Tor</v>
          </cell>
          <cell r="AL22" t="str">
            <v>พฤหัส</v>
          </cell>
          <cell r="AM22" t="str">
            <v>Per</v>
          </cell>
          <cell r="AN22" t="str">
            <v>T5</v>
          </cell>
          <cell r="AO22" t="str">
            <v>Чт</v>
          </cell>
          <cell r="AP22" t="str">
            <v>جمعرات</v>
          </cell>
          <cell r="AQ22" t="str">
            <v>Пай</v>
          </cell>
        </row>
        <row r="23">
          <cell r="A23" t="str">
            <v>Fri</v>
          </cell>
          <cell r="B23" t="str">
            <v>Pre</v>
          </cell>
          <cell r="C23" t="str">
            <v>الجمعة</v>
          </cell>
          <cell r="D23" t="str">
            <v>Ուրբ.</v>
          </cell>
          <cell r="E23" t="str">
            <v>C</v>
          </cell>
          <cell r="F23" t="str">
            <v>Пет</v>
          </cell>
          <cell r="G23" t="str">
            <v>Div</v>
          </cell>
          <cell r="H23" t="str">
            <v>周五</v>
          </cell>
          <cell r="I23" t="str">
            <v>Fri</v>
          </cell>
          <cell r="J23" t="str">
            <v>Pet</v>
          </cell>
          <cell r="K23" t="str">
            <v>Pá</v>
          </cell>
          <cell r="L23" t="str">
            <v>Fre</v>
          </cell>
          <cell r="M23" t="str">
            <v>Vr</v>
          </cell>
          <cell r="N23" t="str">
            <v>Fri</v>
          </cell>
          <cell r="O23" t="str">
            <v>პარ</v>
          </cell>
          <cell r="P23" t="str">
            <v>Fri</v>
          </cell>
          <cell r="Q23" t="str">
            <v>Παρ</v>
          </cell>
          <cell r="R23" t="str">
            <v>שישי</v>
          </cell>
          <cell r="S23" t="str">
            <v>Pé</v>
          </cell>
          <cell r="T23" t="str">
            <v>Jum</v>
          </cell>
          <cell r="U23" t="str">
            <v>Fös</v>
          </cell>
          <cell r="V23" t="str">
            <v>Ven</v>
          </cell>
          <cell r="W23" t="str">
            <v>금</v>
          </cell>
          <cell r="X23" t="str">
            <v>Penk</v>
          </cell>
          <cell r="Y23" t="str">
            <v>Пет</v>
          </cell>
          <cell r="Z23" t="str">
            <v>Ġim</v>
          </cell>
          <cell r="AA23" t="str">
            <v>Fre</v>
          </cell>
          <cell r="AB23" t="str">
            <v>جمعه</v>
          </cell>
          <cell r="AC23" t="str">
            <v>Pt</v>
          </cell>
          <cell r="AD23" t="str">
            <v>Sex</v>
          </cell>
          <cell r="AE23" t="str">
            <v>Vin</v>
          </cell>
          <cell r="AF23" t="str">
            <v>Пт</v>
          </cell>
          <cell r="AG23" t="str">
            <v>Pet</v>
          </cell>
          <cell r="AH23" t="str">
            <v>Pi</v>
          </cell>
          <cell r="AI23" t="str">
            <v>Pet</v>
          </cell>
          <cell r="AJ23" t="str">
            <v>Fri</v>
          </cell>
          <cell r="AK23" t="str">
            <v>Fre</v>
          </cell>
          <cell r="AL23" t="str">
            <v>ศุกร์</v>
          </cell>
          <cell r="AM23" t="str">
            <v>Cum</v>
          </cell>
          <cell r="AN23" t="str">
            <v>T6</v>
          </cell>
          <cell r="AO23" t="str">
            <v>Пт</v>
          </cell>
          <cell r="AP23" t="str">
            <v>جمعہ</v>
          </cell>
          <cell r="AQ23" t="str">
            <v>Жума</v>
          </cell>
        </row>
        <row r="24">
          <cell r="A24" t="str">
            <v>Sat</v>
          </cell>
          <cell r="B24" t="str">
            <v>Sht</v>
          </cell>
          <cell r="C24" t="str">
            <v>السبت</v>
          </cell>
          <cell r="D24" t="str">
            <v>Շաբ.</v>
          </cell>
          <cell r="E24" t="str">
            <v>Ş</v>
          </cell>
          <cell r="F24" t="str">
            <v>Съб</v>
          </cell>
          <cell r="G24" t="str">
            <v>Dis</v>
          </cell>
          <cell r="H24" t="str">
            <v>周六</v>
          </cell>
          <cell r="I24" t="str">
            <v>Sat</v>
          </cell>
          <cell r="J24" t="str">
            <v>Sub</v>
          </cell>
          <cell r="K24" t="str">
            <v>So</v>
          </cell>
          <cell r="L24" t="str">
            <v>Lør</v>
          </cell>
          <cell r="M24" t="str">
            <v>Za</v>
          </cell>
          <cell r="N24" t="str">
            <v>Sat</v>
          </cell>
          <cell r="O24" t="str">
            <v>შაბ</v>
          </cell>
          <cell r="P24" t="str">
            <v>Sat</v>
          </cell>
          <cell r="Q24" t="str">
            <v>Σαβ</v>
          </cell>
          <cell r="R24" t="str">
            <v>שבת</v>
          </cell>
          <cell r="S24" t="str">
            <v>Szo</v>
          </cell>
          <cell r="T24" t="str">
            <v>Sab</v>
          </cell>
          <cell r="U24" t="str">
            <v>Lau</v>
          </cell>
          <cell r="V24" t="str">
            <v>Sab</v>
          </cell>
          <cell r="W24" t="str">
            <v>토</v>
          </cell>
          <cell r="X24" t="str">
            <v>Šešt</v>
          </cell>
          <cell r="Y24" t="str">
            <v>Саб</v>
          </cell>
          <cell r="Z24" t="str">
            <v>Sib</v>
          </cell>
          <cell r="AA24" t="str">
            <v>Lør</v>
          </cell>
          <cell r="AB24" t="str">
            <v>شنبه</v>
          </cell>
          <cell r="AC24" t="str">
            <v>So</v>
          </cell>
          <cell r="AD24" t="str">
            <v>Sab</v>
          </cell>
          <cell r="AE24" t="str">
            <v>Sam</v>
          </cell>
          <cell r="AF24" t="str">
            <v>Сб</v>
          </cell>
          <cell r="AG24" t="str">
            <v>Sub</v>
          </cell>
          <cell r="AH24" t="str">
            <v>So</v>
          </cell>
          <cell r="AI24" t="str">
            <v>Sob</v>
          </cell>
          <cell r="AJ24" t="str">
            <v>Sat</v>
          </cell>
          <cell r="AK24" t="str">
            <v>Lör</v>
          </cell>
          <cell r="AL24" t="str">
            <v>เสาร์</v>
          </cell>
          <cell r="AM24" t="str">
            <v>Cmt</v>
          </cell>
          <cell r="AN24" t="str">
            <v>T7</v>
          </cell>
          <cell r="AO24" t="str">
            <v>Сб</v>
          </cell>
          <cell r="AP24" t="str">
            <v>سنیچر</v>
          </cell>
          <cell r="AQ24" t="str">
            <v>Шанба</v>
          </cell>
        </row>
        <row r="25">
          <cell r="A25" t="str">
            <v>Jan</v>
          </cell>
          <cell r="B25" t="str">
            <v>Jan</v>
          </cell>
          <cell r="C25" t="str">
            <v>كانون ثاني</v>
          </cell>
          <cell r="D25" t="str">
            <v>Հունվ.</v>
          </cell>
          <cell r="E25" t="str">
            <v>Yan</v>
          </cell>
          <cell r="F25" t="str">
            <v>Януари</v>
          </cell>
          <cell r="G25" t="str">
            <v>Gen</v>
          </cell>
          <cell r="H25" t="str">
            <v>一月</v>
          </cell>
          <cell r="I25" t="str">
            <v>Jan</v>
          </cell>
          <cell r="J25" t="str">
            <v>Sij</v>
          </cell>
          <cell r="K25" t="str">
            <v>Jan</v>
          </cell>
          <cell r="L25" t="str">
            <v>Jan</v>
          </cell>
          <cell r="M25" t="str">
            <v>Jan</v>
          </cell>
          <cell r="N25" t="str">
            <v>Janv</v>
          </cell>
          <cell r="O25" t="str">
            <v>იან</v>
          </cell>
          <cell r="P25" t="str">
            <v>Jan</v>
          </cell>
          <cell r="Q25" t="str">
            <v>Ιαν</v>
          </cell>
          <cell r="R25" t="str">
            <v>ינואר</v>
          </cell>
          <cell r="S25" t="str">
            <v>Jan</v>
          </cell>
          <cell r="T25" t="str">
            <v>Jan</v>
          </cell>
          <cell r="U25" t="str">
            <v>Jan</v>
          </cell>
          <cell r="V25" t="str">
            <v>Gen</v>
          </cell>
          <cell r="W25" t="str">
            <v>1월</v>
          </cell>
          <cell r="X25" t="str">
            <v>Saus</v>
          </cell>
          <cell r="Y25" t="str">
            <v>Јан</v>
          </cell>
          <cell r="Z25" t="str">
            <v>Jan</v>
          </cell>
          <cell r="AA25" t="str">
            <v>Jan</v>
          </cell>
          <cell r="AB25" t="str">
            <v>زانویه</v>
          </cell>
          <cell r="AC25" t="str">
            <v>Sty</v>
          </cell>
          <cell r="AD25" t="str">
            <v>Jan</v>
          </cell>
          <cell r="AE25" t="str">
            <v>Ian</v>
          </cell>
          <cell r="AF25" t="str">
            <v>Янв</v>
          </cell>
          <cell r="AG25" t="str">
            <v>Jan</v>
          </cell>
          <cell r="AH25" t="str">
            <v>Jan</v>
          </cell>
          <cell r="AI25" t="str">
            <v>Jan</v>
          </cell>
          <cell r="AJ25" t="str">
            <v>Ene</v>
          </cell>
          <cell r="AK25" t="str">
            <v>jan</v>
          </cell>
          <cell r="AL25" t="str">
            <v>มกราคม</v>
          </cell>
          <cell r="AM25" t="str">
            <v>Oca</v>
          </cell>
          <cell r="AN25" t="str">
            <v>Tháng 1</v>
          </cell>
          <cell r="AO25" t="str">
            <v>Січ</v>
          </cell>
          <cell r="AP25" t="str">
            <v>جنوری</v>
          </cell>
          <cell r="AQ25" t="str">
            <v>Янв</v>
          </cell>
        </row>
        <row r="26">
          <cell r="A26" t="str">
            <v>Feb</v>
          </cell>
          <cell r="B26" t="str">
            <v>Shk</v>
          </cell>
          <cell r="C26" t="str">
            <v>شباط</v>
          </cell>
          <cell r="D26" t="str">
            <v>Փետր.</v>
          </cell>
          <cell r="E26" t="str">
            <v>Fev</v>
          </cell>
          <cell r="F26" t="str">
            <v>Февруари</v>
          </cell>
          <cell r="G26" t="str">
            <v>Feb</v>
          </cell>
          <cell r="H26" t="str">
            <v>二月</v>
          </cell>
          <cell r="I26" t="str">
            <v>Feb</v>
          </cell>
          <cell r="J26" t="str">
            <v>Vel</v>
          </cell>
          <cell r="K26" t="str">
            <v>Feb</v>
          </cell>
          <cell r="L26" t="str">
            <v>Feb</v>
          </cell>
          <cell r="M26" t="str">
            <v>Feb</v>
          </cell>
          <cell r="N26" t="str">
            <v>Févr</v>
          </cell>
          <cell r="O26" t="str">
            <v>თებ</v>
          </cell>
          <cell r="P26" t="str">
            <v>Feb</v>
          </cell>
          <cell r="Q26" t="str">
            <v>Φεβ</v>
          </cell>
          <cell r="R26" t="str">
            <v>פברואר</v>
          </cell>
          <cell r="S26" t="str">
            <v>Feb</v>
          </cell>
          <cell r="T26" t="str">
            <v>Peb</v>
          </cell>
          <cell r="U26" t="str">
            <v>Feb</v>
          </cell>
          <cell r="V26" t="str">
            <v>Feb</v>
          </cell>
          <cell r="W26" t="str">
            <v>2월</v>
          </cell>
          <cell r="X26" t="str">
            <v>Vas</v>
          </cell>
          <cell r="Y26" t="str">
            <v>Фев</v>
          </cell>
          <cell r="Z26" t="str">
            <v>Fra</v>
          </cell>
          <cell r="AA26" t="str">
            <v>Feb</v>
          </cell>
          <cell r="AB26" t="str">
            <v>فوریه</v>
          </cell>
          <cell r="AC26" t="str">
            <v>Lut</v>
          </cell>
          <cell r="AD26" t="str">
            <v>Fev</v>
          </cell>
          <cell r="AE26" t="str">
            <v>Feb</v>
          </cell>
          <cell r="AF26" t="str">
            <v>Фев</v>
          </cell>
          <cell r="AG26" t="str">
            <v>Feb</v>
          </cell>
          <cell r="AH26" t="str">
            <v>Feb</v>
          </cell>
          <cell r="AI26" t="str">
            <v>Feb</v>
          </cell>
          <cell r="AJ26" t="str">
            <v>Feb</v>
          </cell>
          <cell r="AK26" t="str">
            <v>Feb</v>
          </cell>
          <cell r="AL26" t="str">
            <v>กุมภาพันธ์</v>
          </cell>
          <cell r="AM26" t="str">
            <v>Şub</v>
          </cell>
          <cell r="AN26" t="str">
            <v>Tháng 2</v>
          </cell>
          <cell r="AO26" t="str">
            <v>Лют</v>
          </cell>
          <cell r="AP26" t="str">
            <v>فروری</v>
          </cell>
          <cell r="AQ26" t="str">
            <v>Фев</v>
          </cell>
        </row>
        <row r="27">
          <cell r="A27" t="str">
            <v>Mar</v>
          </cell>
          <cell r="B27" t="str">
            <v>Mar</v>
          </cell>
          <cell r="C27" t="str">
            <v>آذار</v>
          </cell>
          <cell r="D27" t="str">
            <v>Մարտ</v>
          </cell>
          <cell r="E27" t="str">
            <v>Mar</v>
          </cell>
          <cell r="F27" t="str">
            <v>Март</v>
          </cell>
          <cell r="G27" t="str">
            <v>Mar</v>
          </cell>
          <cell r="H27" t="str">
            <v>三月</v>
          </cell>
          <cell r="I27" t="str">
            <v>Mar</v>
          </cell>
          <cell r="J27" t="str">
            <v>Ožu</v>
          </cell>
          <cell r="K27" t="str">
            <v>Mar</v>
          </cell>
          <cell r="L27" t="str">
            <v>Mar</v>
          </cell>
          <cell r="M27" t="str">
            <v>Mrt</v>
          </cell>
          <cell r="N27" t="str">
            <v>Mars</v>
          </cell>
          <cell r="O27" t="str">
            <v>მარ</v>
          </cell>
          <cell r="P27" t="str">
            <v>Mrz</v>
          </cell>
          <cell r="Q27" t="str">
            <v>Μαρ</v>
          </cell>
          <cell r="R27" t="str">
            <v>מרץ</v>
          </cell>
          <cell r="S27" t="str">
            <v>Már</v>
          </cell>
          <cell r="T27" t="str">
            <v>Mar</v>
          </cell>
          <cell r="U27" t="str">
            <v>Mar</v>
          </cell>
          <cell r="V27" t="str">
            <v>Mar</v>
          </cell>
          <cell r="W27" t="str">
            <v>3월</v>
          </cell>
          <cell r="X27" t="str">
            <v>Kov</v>
          </cell>
          <cell r="Y27" t="str">
            <v>Мар</v>
          </cell>
          <cell r="Z27" t="str">
            <v>Mar</v>
          </cell>
          <cell r="AA27" t="str">
            <v>Mar</v>
          </cell>
          <cell r="AB27" t="str">
            <v>مارس</v>
          </cell>
          <cell r="AC27" t="str">
            <v>Mar</v>
          </cell>
          <cell r="AD27" t="str">
            <v>Mar</v>
          </cell>
          <cell r="AE27" t="str">
            <v>Mar</v>
          </cell>
          <cell r="AF27" t="str">
            <v>Мар</v>
          </cell>
          <cell r="AG27" t="str">
            <v>Mar</v>
          </cell>
          <cell r="AH27" t="str">
            <v>Mar</v>
          </cell>
          <cell r="AI27" t="str">
            <v>Mar</v>
          </cell>
          <cell r="AJ27" t="str">
            <v>Mar</v>
          </cell>
          <cell r="AK27" t="str">
            <v>mar</v>
          </cell>
          <cell r="AL27" t="str">
            <v>มีนาคม</v>
          </cell>
          <cell r="AM27" t="str">
            <v>Mar</v>
          </cell>
          <cell r="AN27" t="str">
            <v>Tháng 3</v>
          </cell>
          <cell r="AO27" t="str">
            <v>Бер</v>
          </cell>
          <cell r="AP27" t="str">
            <v>مارچ</v>
          </cell>
          <cell r="AQ27" t="str">
            <v>Мар</v>
          </cell>
        </row>
        <row r="28">
          <cell r="A28" t="str">
            <v>Apr</v>
          </cell>
          <cell r="B28" t="str">
            <v>Pri</v>
          </cell>
          <cell r="C28" t="str">
            <v>نيسان</v>
          </cell>
          <cell r="D28" t="str">
            <v>Ապրիլ</v>
          </cell>
          <cell r="E28" t="str">
            <v>Apr</v>
          </cell>
          <cell r="F28" t="str">
            <v>Април</v>
          </cell>
          <cell r="G28" t="str">
            <v>Abr</v>
          </cell>
          <cell r="H28" t="str">
            <v>四月</v>
          </cell>
          <cell r="I28" t="str">
            <v>Apr</v>
          </cell>
          <cell r="J28" t="str">
            <v>Tra</v>
          </cell>
          <cell r="K28" t="str">
            <v>Apr</v>
          </cell>
          <cell r="L28" t="str">
            <v>Apr</v>
          </cell>
          <cell r="M28" t="str">
            <v>Apr</v>
          </cell>
          <cell r="N28" t="str">
            <v>Avr</v>
          </cell>
          <cell r="O28" t="str">
            <v>აპრ</v>
          </cell>
          <cell r="P28" t="str">
            <v>Apr</v>
          </cell>
          <cell r="Q28" t="str">
            <v>Απρ</v>
          </cell>
          <cell r="R28" t="str">
            <v>אפריל</v>
          </cell>
          <cell r="S28" t="str">
            <v>Ápr</v>
          </cell>
          <cell r="T28" t="str">
            <v>Apr</v>
          </cell>
          <cell r="U28" t="str">
            <v>Apr</v>
          </cell>
          <cell r="V28" t="str">
            <v>Apr</v>
          </cell>
          <cell r="W28" t="str">
            <v>4월</v>
          </cell>
          <cell r="X28" t="str">
            <v>Bal</v>
          </cell>
          <cell r="Y28" t="str">
            <v>Апр</v>
          </cell>
          <cell r="Z28" t="str">
            <v>Apr</v>
          </cell>
          <cell r="AA28" t="str">
            <v>Apr</v>
          </cell>
          <cell r="AB28" t="str">
            <v>آوریل</v>
          </cell>
          <cell r="AC28" t="str">
            <v>Kwi</v>
          </cell>
          <cell r="AD28" t="str">
            <v>Abr</v>
          </cell>
          <cell r="AE28" t="str">
            <v>Apr</v>
          </cell>
          <cell r="AF28" t="str">
            <v>Апр</v>
          </cell>
          <cell r="AG28" t="str">
            <v>Apr</v>
          </cell>
          <cell r="AH28" t="str">
            <v>Apr</v>
          </cell>
          <cell r="AI28" t="str">
            <v>Apr</v>
          </cell>
          <cell r="AJ28" t="str">
            <v>Abr</v>
          </cell>
          <cell r="AK28" t="str">
            <v>apr</v>
          </cell>
          <cell r="AL28" t="str">
            <v>เมษายน</v>
          </cell>
          <cell r="AM28" t="str">
            <v>Nis</v>
          </cell>
          <cell r="AN28" t="str">
            <v>Tháng 4</v>
          </cell>
          <cell r="AO28" t="str">
            <v>Квіт</v>
          </cell>
          <cell r="AP28" t="str">
            <v>اپریل</v>
          </cell>
          <cell r="AQ28" t="str">
            <v>Апр</v>
          </cell>
        </row>
        <row r="29">
          <cell r="A29" t="str">
            <v>May</v>
          </cell>
          <cell r="B29" t="str">
            <v>Maj</v>
          </cell>
          <cell r="C29" t="str">
            <v>أياد</v>
          </cell>
          <cell r="D29" t="str">
            <v>Մայիս</v>
          </cell>
          <cell r="E29" t="str">
            <v>May</v>
          </cell>
          <cell r="F29" t="str">
            <v>Май</v>
          </cell>
          <cell r="G29" t="str">
            <v>Mai</v>
          </cell>
          <cell r="H29" t="str">
            <v>五月</v>
          </cell>
          <cell r="I29" t="str">
            <v>May</v>
          </cell>
          <cell r="J29" t="str">
            <v>Svi</v>
          </cell>
          <cell r="K29" t="str">
            <v>May</v>
          </cell>
          <cell r="L29" t="str">
            <v>Maj</v>
          </cell>
          <cell r="M29" t="str">
            <v>Mei</v>
          </cell>
          <cell r="N29" t="str">
            <v>Mai</v>
          </cell>
          <cell r="O29" t="str">
            <v>მაი</v>
          </cell>
          <cell r="P29" t="str">
            <v>Mai</v>
          </cell>
          <cell r="Q29" t="str">
            <v>Μαϊ</v>
          </cell>
          <cell r="R29" t="str">
            <v>מאי</v>
          </cell>
          <cell r="S29" t="str">
            <v>Máj</v>
          </cell>
          <cell r="T29" t="str">
            <v>Mei</v>
          </cell>
          <cell r="U29" t="str">
            <v>Maí</v>
          </cell>
          <cell r="V29" t="str">
            <v>Mag</v>
          </cell>
          <cell r="W29" t="str">
            <v>5월</v>
          </cell>
          <cell r="X29" t="str">
            <v>Geg</v>
          </cell>
          <cell r="Y29" t="str">
            <v>Мај</v>
          </cell>
          <cell r="Z29" t="str">
            <v>Mej</v>
          </cell>
          <cell r="AA29" t="str">
            <v>Mai</v>
          </cell>
          <cell r="AB29" t="str">
            <v>می</v>
          </cell>
          <cell r="AC29" t="str">
            <v>Maj</v>
          </cell>
          <cell r="AD29" t="str">
            <v>Mai</v>
          </cell>
          <cell r="AE29" t="str">
            <v>Mai</v>
          </cell>
          <cell r="AF29" t="str">
            <v>Май</v>
          </cell>
          <cell r="AG29" t="str">
            <v>Maj</v>
          </cell>
          <cell r="AH29" t="str">
            <v>Máj</v>
          </cell>
          <cell r="AI29" t="str">
            <v>Maj</v>
          </cell>
          <cell r="AJ29" t="str">
            <v>May</v>
          </cell>
          <cell r="AK29" t="str">
            <v>maj</v>
          </cell>
          <cell r="AL29" t="str">
            <v>พฤษภาคม</v>
          </cell>
          <cell r="AM29" t="str">
            <v>May</v>
          </cell>
          <cell r="AN29" t="str">
            <v>Tháng 5</v>
          </cell>
          <cell r="AO29" t="str">
            <v>Трав</v>
          </cell>
          <cell r="AP29" t="str">
            <v>مئی</v>
          </cell>
          <cell r="AQ29" t="str">
            <v>Май</v>
          </cell>
        </row>
        <row r="30">
          <cell r="A30" t="str">
            <v>Jun</v>
          </cell>
          <cell r="B30" t="str">
            <v>Qer</v>
          </cell>
          <cell r="C30" t="str">
            <v>حزيران</v>
          </cell>
          <cell r="D30" t="str">
            <v>Հունիս</v>
          </cell>
          <cell r="E30" t="str">
            <v>İyn</v>
          </cell>
          <cell r="F30" t="str">
            <v>Юни</v>
          </cell>
          <cell r="G30" t="str">
            <v>Jun</v>
          </cell>
          <cell r="H30" t="str">
            <v>六月</v>
          </cell>
          <cell r="I30" t="str">
            <v>Jun</v>
          </cell>
          <cell r="J30" t="str">
            <v>Lip</v>
          </cell>
          <cell r="K30" t="str">
            <v>Čer</v>
          </cell>
          <cell r="L30" t="str">
            <v>Jun</v>
          </cell>
          <cell r="M30" t="str">
            <v>Jun</v>
          </cell>
          <cell r="N30" t="str">
            <v>Juin</v>
          </cell>
          <cell r="O30" t="str">
            <v>ივნ</v>
          </cell>
          <cell r="P30" t="str">
            <v>Jun</v>
          </cell>
          <cell r="Q30" t="str">
            <v>Ιουν</v>
          </cell>
          <cell r="R30" t="str">
            <v>יוני</v>
          </cell>
          <cell r="S30" t="str">
            <v>Jún</v>
          </cell>
          <cell r="T30" t="str">
            <v>Jun</v>
          </cell>
          <cell r="U30" t="str">
            <v>Jún</v>
          </cell>
          <cell r="V30" t="str">
            <v>Giu</v>
          </cell>
          <cell r="W30" t="str">
            <v>6월</v>
          </cell>
          <cell r="X30" t="str">
            <v>Birž</v>
          </cell>
          <cell r="Y30" t="str">
            <v>Јун</v>
          </cell>
          <cell r="Z30" t="str">
            <v>Ġun</v>
          </cell>
          <cell r="AA30" t="str">
            <v>Jun</v>
          </cell>
          <cell r="AB30" t="str">
            <v>ژوئن</v>
          </cell>
          <cell r="AC30" t="str">
            <v>Cze</v>
          </cell>
          <cell r="AD30" t="str">
            <v>Jun</v>
          </cell>
          <cell r="AE30" t="str">
            <v>Iun</v>
          </cell>
          <cell r="AF30" t="str">
            <v>Июн</v>
          </cell>
          <cell r="AG30" t="str">
            <v>Jun</v>
          </cell>
          <cell r="AH30" t="str">
            <v>Jún</v>
          </cell>
          <cell r="AI30" t="str">
            <v>Jun</v>
          </cell>
          <cell r="AJ30" t="str">
            <v>Jun</v>
          </cell>
          <cell r="AK30" t="str">
            <v>jun</v>
          </cell>
          <cell r="AL30" t="str">
            <v>มิถุนายน</v>
          </cell>
          <cell r="AM30" t="str">
            <v>Haz</v>
          </cell>
          <cell r="AN30" t="str">
            <v>Tháng 6</v>
          </cell>
          <cell r="AO30" t="str">
            <v>Черв</v>
          </cell>
          <cell r="AP30" t="str">
            <v>جون</v>
          </cell>
          <cell r="AQ30" t="str">
            <v>Июн</v>
          </cell>
        </row>
        <row r="31">
          <cell r="A31" t="str">
            <v>Jul</v>
          </cell>
          <cell r="B31" t="str">
            <v>Kor</v>
          </cell>
          <cell r="C31" t="str">
            <v>تموز</v>
          </cell>
          <cell r="D31" t="str">
            <v>Հուլիս</v>
          </cell>
          <cell r="E31" t="str">
            <v>İyl</v>
          </cell>
          <cell r="F31" t="str">
            <v>Юли</v>
          </cell>
          <cell r="G31" t="str">
            <v>Jul</v>
          </cell>
          <cell r="H31" t="str">
            <v>七月</v>
          </cell>
          <cell r="I31" t="str">
            <v>Jul</v>
          </cell>
          <cell r="J31" t="str">
            <v>Srp</v>
          </cell>
          <cell r="K31" t="str">
            <v>Čec</v>
          </cell>
          <cell r="L31" t="str">
            <v>Jul</v>
          </cell>
          <cell r="M31" t="str">
            <v>Jul</v>
          </cell>
          <cell r="N31" t="str">
            <v>Juil</v>
          </cell>
          <cell r="O31" t="str">
            <v>ივლ</v>
          </cell>
          <cell r="P31" t="str">
            <v>Jul</v>
          </cell>
          <cell r="Q31" t="str">
            <v>Ιουλ</v>
          </cell>
          <cell r="R31" t="str">
            <v>יולי</v>
          </cell>
          <cell r="S31" t="str">
            <v>Júl</v>
          </cell>
          <cell r="T31" t="str">
            <v>Jul</v>
          </cell>
          <cell r="U31" t="str">
            <v>Júl</v>
          </cell>
          <cell r="V31" t="str">
            <v>Lug</v>
          </cell>
          <cell r="W31" t="str">
            <v>7월</v>
          </cell>
          <cell r="X31" t="str">
            <v>Lie</v>
          </cell>
          <cell r="Y31" t="str">
            <v>Јул</v>
          </cell>
          <cell r="Z31" t="str">
            <v>Lul</v>
          </cell>
          <cell r="AA31" t="str">
            <v>Jul</v>
          </cell>
          <cell r="AB31" t="str">
            <v>ژولای</v>
          </cell>
          <cell r="AC31" t="str">
            <v>Lip</v>
          </cell>
          <cell r="AD31" t="str">
            <v>Jul</v>
          </cell>
          <cell r="AE31" t="str">
            <v>Iul</v>
          </cell>
          <cell r="AF31" t="str">
            <v>Июл</v>
          </cell>
          <cell r="AG31" t="str">
            <v>Jul</v>
          </cell>
          <cell r="AH31" t="str">
            <v>Júl</v>
          </cell>
          <cell r="AI31" t="str">
            <v>Jul</v>
          </cell>
          <cell r="AJ31" t="str">
            <v>Jul</v>
          </cell>
          <cell r="AK31" t="str">
            <v>jul</v>
          </cell>
          <cell r="AL31" t="str">
            <v>กรกฎาคม</v>
          </cell>
          <cell r="AM31" t="str">
            <v>Tem</v>
          </cell>
          <cell r="AN31" t="str">
            <v>Tháng 7</v>
          </cell>
          <cell r="AO31" t="str">
            <v>Лип</v>
          </cell>
          <cell r="AP31" t="str">
            <v>جولائی</v>
          </cell>
          <cell r="AQ31" t="str">
            <v>Июл</v>
          </cell>
        </row>
        <row r="32">
          <cell r="A32" t="str">
            <v>Aug</v>
          </cell>
          <cell r="B32" t="str">
            <v>Gus</v>
          </cell>
          <cell r="C32" t="str">
            <v>آب</v>
          </cell>
          <cell r="D32" t="str">
            <v>Օգոս.</v>
          </cell>
          <cell r="E32" t="str">
            <v>Avq</v>
          </cell>
          <cell r="F32" t="str">
            <v>Август</v>
          </cell>
          <cell r="G32" t="str">
            <v>Ago</v>
          </cell>
          <cell r="H32" t="str">
            <v>八月</v>
          </cell>
          <cell r="I32" t="str">
            <v>Aug</v>
          </cell>
          <cell r="J32" t="str">
            <v>Kol</v>
          </cell>
          <cell r="K32" t="str">
            <v>Aug</v>
          </cell>
          <cell r="L32" t="str">
            <v>Aug</v>
          </cell>
          <cell r="M32" t="str">
            <v>Aug</v>
          </cell>
          <cell r="N32" t="str">
            <v>Août</v>
          </cell>
          <cell r="O32" t="str">
            <v>აგვ</v>
          </cell>
          <cell r="P32" t="str">
            <v>Aug</v>
          </cell>
          <cell r="Q32" t="str">
            <v>Αυγ</v>
          </cell>
          <cell r="R32" t="str">
            <v>אוגוסט</v>
          </cell>
          <cell r="S32" t="str">
            <v>Aug</v>
          </cell>
          <cell r="T32" t="str">
            <v>Agu</v>
          </cell>
          <cell r="U32" t="str">
            <v>Ágú</v>
          </cell>
          <cell r="V32" t="str">
            <v>Ago</v>
          </cell>
          <cell r="W32" t="str">
            <v>8월</v>
          </cell>
          <cell r="X32" t="str">
            <v>Rugp</v>
          </cell>
          <cell r="Y32" t="str">
            <v>Авг</v>
          </cell>
          <cell r="Z32" t="str">
            <v>Aww</v>
          </cell>
          <cell r="AA32" t="str">
            <v>Aug</v>
          </cell>
          <cell r="AB32" t="str">
            <v>اگوست</v>
          </cell>
          <cell r="AC32" t="str">
            <v>Się</v>
          </cell>
          <cell r="AD32" t="str">
            <v>Ago</v>
          </cell>
          <cell r="AE32" t="str">
            <v>Aug</v>
          </cell>
          <cell r="AF32" t="str">
            <v>Авг</v>
          </cell>
          <cell r="AG32" t="str">
            <v>Avg</v>
          </cell>
          <cell r="AH32" t="str">
            <v>Aug</v>
          </cell>
          <cell r="AI32" t="str">
            <v>Avg</v>
          </cell>
          <cell r="AJ32" t="str">
            <v>Ago</v>
          </cell>
          <cell r="AK32" t="str">
            <v>Aug</v>
          </cell>
          <cell r="AL32" t="str">
            <v>สิงหาคม</v>
          </cell>
          <cell r="AM32" t="str">
            <v>Ağu</v>
          </cell>
          <cell r="AN32" t="str">
            <v>Tháng 8</v>
          </cell>
          <cell r="AO32" t="str">
            <v>Серп</v>
          </cell>
          <cell r="AP32" t="str">
            <v>اگست</v>
          </cell>
          <cell r="AQ32" t="str">
            <v>Авг</v>
          </cell>
        </row>
        <row r="33">
          <cell r="A33" t="str">
            <v>Sep</v>
          </cell>
          <cell r="B33" t="str">
            <v>Shta</v>
          </cell>
          <cell r="C33" t="str">
            <v>أيلول</v>
          </cell>
          <cell r="D33" t="str">
            <v>Սեպտ.</v>
          </cell>
          <cell r="E33" t="str">
            <v>Sen</v>
          </cell>
          <cell r="F33" t="str">
            <v>Септември</v>
          </cell>
          <cell r="G33" t="str">
            <v>Set</v>
          </cell>
          <cell r="H33" t="str">
            <v>九月</v>
          </cell>
          <cell r="I33" t="str">
            <v>Sep</v>
          </cell>
          <cell r="J33" t="str">
            <v>Ruj</v>
          </cell>
          <cell r="K33" t="str">
            <v>Sep</v>
          </cell>
          <cell r="L33" t="str">
            <v>Sep</v>
          </cell>
          <cell r="M33" t="str">
            <v>Sep</v>
          </cell>
          <cell r="N33" t="str">
            <v>Sept</v>
          </cell>
          <cell r="O33" t="str">
            <v>სექ</v>
          </cell>
          <cell r="P33" t="str">
            <v>Sep</v>
          </cell>
          <cell r="Q33" t="str">
            <v>Σεπ</v>
          </cell>
          <cell r="R33" t="str">
            <v>ספטמבר</v>
          </cell>
          <cell r="S33" t="str">
            <v>Szep</v>
          </cell>
          <cell r="T33" t="str">
            <v>Sep</v>
          </cell>
          <cell r="U33" t="str">
            <v>Sep</v>
          </cell>
          <cell r="V33" t="str">
            <v>Set</v>
          </cell>
          <cell r="W33" t="str">
            <v>9월</v>
          </cell>
          <cell r="X33" t="str">
            <v>Rugs</v>
          </cell>
          <cell r="Y33" t="str">
            <v>Сеп</v>
          </cell>
          <cell r="Z33" t="str">
            <v>Set</v>
          </cell>
          <cell r="AA33" t="str">
            <v>Sep</v>
          </cell>
          <cell r="AB33" t="str">
            <v>سپتامبر</v>
          </cell>
          <cell r="AC33" t="str">
            <v>Wrz</v>
          </cell>
          <cell r="AD33" t="str">
            <v>Set</v>
          </cell>
          <cell r="AE33" t="str">
            <v>Sep</v>
          </cell>
          <cell r="AF33" t="str">
            <v>Сен</v>
          </cell>
          <cell r="AG33" t="str">
            <v>Sep</v>
          </cell>
          <cell r="AH33" t="str">
            <v>Sep</v>
          </cell>
          <cell r="AI33" t="str">
            <v>Sep</v>
          </cell>
          <cell r="AJ33" t="str">
            <v>Sep</v>
          </cell>
          <cell r="AK33" t="str">
            <v>sep</v>
          </cell>
          <cell r="AL33" t="str">
            <v>กันยายน</v>
          </cell>
          <cell r="AM33" t="str">
            <v>Eyl</v>
          </cell>
          <cell r="AN33" t="str">
            <v>Tháng 9</v>
          </cell>
          <cell r="AO33" t="str">
            <v>Вер</v>
          </cell>
          <cell r="AP33" t="str">
            <v>ستمبر</v>
          </cell>
          <cell r="AQ33" t="str">
            <v>Сен</v>
          </cell>
        </row>
        <row r="34">
          <cell r="A34" t="str">
            <v>Oct</v>
          </cell>
          <cell r="B34" t="str">
            <v>Tet</v>
          </cell>
          <cell r="C34" t="str">
            <v>تشرين أول</v>
          </cell>
          <cell r="D34" t="str">
            <v>Հոկտ.</v>
          </cell>
          <cell r="E34" t="str">
            <v>Okt</v>
          </cell>
          <cell r="F34" t="str">
            <v>Октомври</v>
          </cell>
          <cell r="G34" t="str">
            <v>Oct</v>
          </cell>
          <cell r="H34" t="str">
            <v>十月</v>
          </cell>
          <cell r="I34" t="str">
            <v>Oct</v>
          </cell>
          <cell r="J34" t="str">
            <v>Lis</v>
          </cell>
          <cell r="K34" t="str">
            <v>Oct</v>
          </cell>
          <cell r="L34" t="str">
            <v>Okt</v>
          </cell>
          <cell r="M34" t="str">
            <v>Okt</v>
          </cell>
          <cell r="N34" t="str">
            <v>Oct</v>
          </cell>
          <cell r="O34" t="str">
            <v>ოქტ</v>
          </cell>
          <cell r="P34" t="str">
            <v>Okt</v>
          </cell>
          <cell r="Q34" t="str">
            <v>Οκτ</v>
          </cell>
          <cell r="R34" t="str">
            <v>אוקטובר</v>
          </cell>
          <cell r="S34" t="str">
            <v>Okt</v>
          </cell>
          <cell r="T34" t="str">
            <v>Okt</v>
          </cell>
          <cell r="U34" t="str">
            <v>Okt</v>
          </cell>
          <cell r="V34" t="str">
            <v>Ott</v>
          </cell>
          <cell r="W34" t="str">
            <v>10월</v>
          </cell>
          <cell r="X34" t="str">
            <v>Spa</v>
          </cell>
          <cell r="Y34" t="str">
            <v>Окт</v>
          </cell>
          <cell r="Z34" t="str">
            <v>Ott</v>
          </cell>
          <cell r="AA34" t="str">
            <v>Okt</v>
          </cell>
          <cell r="AB34" t="str">
            <v>اکتبر</v>
          </cell>
          <cell r="AC34" t="str">
            <v>Paź</v>
          </cell>
          <cell r="AD34" t="str">
            <v>Out</v>
          </cell>
          <cell r="AE34" t="str">
            <v>Oct</v>
          </cell>
          <cell r="AF34" t="str">
            <v>Окт</v>
          </cell>
          <cell r="AG34" t="str">
            <v>Okt</v>
          </cell>
          <cell r="AH34" t="str">
            <v>Okt</v>
          </cell>
          <cell r="AI34" t="str">
            <v>Oct</v>
          </cell>
          <cell r="AJ34" t="str">
            <v>Oct</v>
          </cell>
          <cell r="AK34" t="str">
            <v>okt</v>
          </cell>
          <cell r="AL34" t="str">
            <v>ตุลาคม</v>
          </cell>
          <cell r="AM34" t="str">
            <v>Eki</v>
          </cell>
          <cell r="AN34" t="str">
            <v>Tháng 10</v>
          </cell>
          <cell r="AO34" t="str">
            <v>Жовт</v>
          </cell>
          <cell r="AP34" t="str">
            <v>اکتوبر</v>
          </cell>
          <cell r="AQ34" t="str">
            <v>Окт</v>
          </cell>
        </row>
        <row r="35">
          <cell r="A35" t="str">
            <v>Nov</v>
          </cell>
          <cell r="B35" t="str">
            <v>Nën</v>
          </cell>
          <cell r="C35" t="str">
            <v>تشرين ثاني</v>
          </cell>
          <cell r="D35" t="str">
            <v>Նոյեմ.</v>
          </cell>
          <cell r="E35" t="str">
            <v>Noy</v>
          </cell>
          <cell r="F35" t="str">
            <v>Ноември</v>
          </cell>
          <cell r="G35" t="str">
            <v>Nov</v>
          </cell>
          <cell r="H35" t="str">
            <v>十一月</v>
          </cell>
          <cell r="I35" t="str">
            <v>Nov</v>
          </cell>
          <cell r="J35" t="str">
            <v>Stu</v>
          </cell>
          <cell r="K35" t="str">
            <v>Nov</v>
          </cell>
          <cell r="L35" t="str">
            <v>Nov</v>
          </cell>
          <cell r="M35" t="str">
            <v>Nov</v>
          </cell>
          <cell r="N35" t="str">
            <v>Nov</v>
          </cell>
          <cell r="O35" t="str">
            <v>ნოე</v>
          </cell>
          <cell r="P35" t="str">
            <v>Nov</v>
          </cell>
          <cell r="Q35" t="str">
            <v>Νοε</v>
          </cell>
          <cell r="R35" t="str">
            <v>נובמבר</v>
          </cell>
          <cell r="S35" t="str">
            <v>Nov</v>
          </cell>
          <cell r="T35" t="str">
            <v>Nop</v>
          </cell>
          <cell r="U35" t="str">
            <v>Nóv</v>
          </cell>
          <cell r="V35" t="str">
            <v>Nov</v>
          </cell>
          <cell r="W35" t="str">
            <v>11월</v>
          </cell>
          <cell r="X35" t="str">
            <v>Lapk</v>
          </cell>
          <cell r="Y35" t="str">
            <v>Ное</v>
          </cell>
          <cell r="Z35" t="str">
            <v>Nov</v>
          </cell>
          <cell r="AA35" t="str">
            <v>Nov</v>
          </cell>
          <cell r="AB35" t="str">
            <v>نوامبر</v>
          </cell>
          <cell r="AC35" t="str">
            <v>Lis</v>
          </cell>
          <cell r="AD35" t="str">
            <v>Nov</v>
          </cell>
          <cell r="AE35" t="str">
            <v>Noi</v>
          </cell>
          <cell r="AF35" t="str">
            <v>Ноя</v>
          </cell>
          <cell r="AG35" t="str">
            <v>Nov</v>
          </cell>
          <cell r="AH35" t="str">
            <v>Nov</v>
          </cell>
          <cell r="AI35" t="str">
            <v>Nov</v>
          </cell>
          <cell r="AJ35" t="str">
            <v>Nov</v>
          </cell>
          <cell r="AK35" t="str">
            <v>nov</v>
          </cell>
          <cell r="AL35" t="str">
            <v>พฤศจิกายน</v>
          </cell>
          <cell r="AM35" t="str">
            <v>Kas</v>
          </cell>
          <cell r="AN35" t="str">
            <v>Tháng 11</v>
          </cell>
          <cell r="AO35" t="str">
            <v>Лист</v>
          </cell>
          <cell r="AP35" t="str">
            <v>نومبر</v>
          </cell>
          <cell r="AQ35" t="str">
            <v>Ноя</v>
          </cell>
        </row>
        <row r="36">
          <cell r="A36" t="str">
            <v>Dec</v>
          </cell>
          <cell r="B36" t="str">
            <v>Dhj</v>
          </cell>
          <cell r="C36" t="str">
            <v>كانون أول</v>
          </cell>
          <cell r="D36" t="str">
            <v>Դեկտ.</v>
          </cell>
          <cell r="E36" t="str">
            <v>Dek</v>
          </cell>
          <cell r="F36" t="str">
            <v>Декември</v>
          </cell>
          <cell r="G36" t="str">
            <v>Des</v>
          </cell>
          <cell r="H36" t="str">
            <v>十二月</v>
          </cell>
          <cell r="I36" t="str">
            <v>Dec</v>
          </cell>
          <cell r="J36" t="str">
            <v>Pro</v>
          </cell>
          <cell r="K36" t="str">
            <v>Dec</v>
          </cell>
          <cell r="L36" t="str">
            <v>Dec</v>
          </cell>
          <cell r="M36" t="str">
            <v>Dec</v>
          </cell>
          <cell r="N36" t="str">
            <v>Déc</v>
          </cell>
          <cell r="O36" t="str">
            <v>დეკ</v>
          </cell>
          <cell r="P36" t="str">
            <v>Dez</v>
          </cell>
          <cell r="Q36" t="str">
            <v>Δεκ</v>
          </cell>
          <cell r="R36" t="str">
            <v>דצמבר</v>
          </cell>
          <cell r="S36" t="str">
            <v>Dec</v>
          </cell>
          <cell r="T36" t="str">
            <v>Des</v>
          </cell>
          <cell r="U36" t="str">
            <v>Des</v>
          </cell>
          <cell r="V36" t="str">
            <v>Dic</v>
          </cell>
          <cell r="W36" t="str">
            <v>12월</v>
          </cell>
          <cell r="X36" t="str">
            <v>Gruo</v>
          </cell>
          <cell r="Y36" t="str">
            <v>Дек</v>
          </cell>
          <cell r="Z36" t="str">
            <v>Deċ</v>
          </cell>
          <cell r="AA36" t="str">
            <v>Des</v>
          </cell>
          <cell r="AB36" t="str">
            <v>دسامبر</v>
          </cell>
          <cell r="AC36" t="str">
            <v>Gru</v>
          </cell>
          <cell r="AD36" t="str">
            <v>Dez</v>
          </cell>
          <cell r="AE36" t="str">
            <v>Dec</v>
          </cell>
          <cell r="AF36" t="str">
            <v>Дек</v>
          </cell>
          <cell r="AG36" t="str">
            <v>Dec</v>
          </cell>
          <cell r="AH36" t="str">
            <v>Dec</v>
          </cell>
          <cell r="AI36" t="str">
            <v>Dec</v>
          </cell>
          <cell r="AJ36" t="str">
            <v>Dic</v>
          </cell>
          <cell r="AK36" t="str">
            <v>dec</v>
          </cell>
          <cell r="AL36" t="str">
            <v>ธันวาคม</v>
          </cell>
          <cell r="AM36" t="str">
            <v>Ara</v>
          </cell>
          <cell r="AN36" t="str">
            <v>Tháng 12</v>
          </cell>
          <cell r="AO36" t="str">
            <v>Груд</v>
          </cell>
          <cell r="AP36" t="str">
            <v>دسمبر</v>
          </cell>
          <cell r="AQ36" t="str">
            <v>Дек</v>
          </cell>
        </row>
        <row r="37">
          <cell r="A37" t="str">
            <v>Team</v>
          </cell>
          <cell r="B37" t="str">
            <v>Ekipi</v>
          </cell>
          <cell r="C37" t="str">
            <v>المنتخب</v>
          </cell>
          <cell r="D37" t="str">
            <v>Հավաքական</v>
          </cell>
          <cell r="E37" t="str">
            <v>Komanda</v>
          </cell>
          <cell r="F37" t="str">
            <v>Отбор</v>
          </cell>
          <cell r="G37" t="str">
            <v>Equip</v>
          </cell>
          <cell r="H37" t="str">
            <v>球队</v>
          </cell>
          <cell r="I37" t="str">
            <v>隊伍</v>
          </cell>
          <cell r="J37" t="str">
            <v>Team</v>
          </cell>
          <cell r="K37" t="str">
            <v>Team</v>
          </cell>
          <cell r="L37" t="str">
            <v>Hold</v>
          </cell>
          <cell r="M37" t="str">
            <v>Team</v>
          </cell>
          <cell r="N37" t="str">
            <v>Équipe</v>
          </cell>
          <cell r="O37" t="str">
            <v>ნაკრები</v>
          </cell>
          <cell r="P37" t="str">
            <v>Team</v>
          </cell>
          <cell r="Q37" t="str">
            <v>Ομάδα</v>
          </cell>
          <cell r="R37" t="str">
            <v>קבוצה</v>
          </cell>
          <cell r="S37" t="str">
            <v>Csapat</v>
          </cell>
          <cell r="T37" t="str">
            <v>Tim</v>
          </cell>
          <cell r="U37" t="str">
            <v>Lið</v>
          </cell>
          <cell r="V37" t="str">
            <v>Squadra</v>
          </cell>
          <cell r="W37" t="str">
            <v>팀</v>
          </cell>
          <cell r="X37" t="str">
            <v>Komanda</v>
          </cell>
          <cell r="Y37" t="str">
            <v>Тим</v>
          </cell>
          <cell r="Z37" t="str">
            <v>Tim</v>
          </cell>
          <cell r="AA37" t="str">
            <v>Lag</v>
          </cell>
          <cell r="AB37" t="str">
            <v>تیم</v>
          </cell>
          <cell r="AC37" t="str">
            <v>Drużyna</v>
          </cell>
          <cell r="AD37" t="str">
            <v>Equipa</v>
          </cell>
          <cell r="AE37" t="str">
            <v>Echipa</v>
          </cell>
          <cell r="AF37" t="str">
            <v>Команда</v>
          </cell>
          <cell r="AG37" t="str">
            <v>Reprezentacija</v>
          </cell>
          <cell r="AH37" t="str">
            <v>Mužstvo</v>
          </cell>
          <cell r="AI37" t="str">
            <v>Moštvo</v>
          </cell>
          <cell r="AJ37" t="str">
            <v>Equipo</v>
          </cell>
          <cell r="AK37" t="str">
            <v>Lag</v>
          </cell>
          <cell r="AL37" t="str">
            <v>ทึม</v>
          </cell>
          <cell r="AM37" t="str">
            <v>Takım</v>
          </cell>
          <cell r="AN37" t="str">
            <v>Đội</v>
          </cell>
          <cell r="AO37" t="str">
            <v>Команда</v>
          </cell>
          <cell r="AP37" t="str">
            <v>ٹیم</v>
          </cell>
          <cell r="AQ37" t="str">
            <v>Жамоа</v>
          </cell>
        </row>
        <row r="38">
          <cell r="A38" t="str">
            <v>Croatia</v>
          </cell>
          <cell r="B38" t="str">
            <v>Kroacia</v>
          </cell>
          <cell r="C38" t="str">
            <v>كرواتيا</v>
          </cell>
          <cell r="D38" t="str">
            <v>Խորվաթիա</v>
          </cell>
          <cell r="E38" t="str">
            <v>Xorvatiya</v>
          </cell>
          <cell r="F38" t="str">
            <v>Хърватия</v>
          </cell>
          <cell r="G38" t="str">
            <v>Croàcia</v>
          </cell>
          <cell r="H38" t="str">
            <v>克罗地亚</v>
          </cell>
          <cell r="I38" t="str">
            <v>克羅地亞</v>
          </cell>
          <cell r="J38" t="str">
            <v>Hrvatska</v>
          </cell>
          <cell r="K38" t="str">
            <v>Chorvatsko</v>
          </cell>
          <cell r="L38" t="str">
            <v>Kroatien</v>
          </cell>
          <cell r="M38" t="str">
            <v>Kroatië</v>
          </cell>
          <cell r="N38" t="str">
            <v>Croatie</v>
          </cell>
          <cell r="O38" t="str">
            <v>ხორვატია</v>
          </cell>
          <cell r="P38" t="str">
            <v>Kroatien</v>
          </cell>
          <cell r="Q38" t="str">
            <v>Κροατία</v>
          </cell>
          <cell r="R38" t="str">
            <v>קרואטיה</v>
          </cell>
          <cell r="S38" t="str">
            <v>Horvátország</v>
          </cell>
          <cell r="T38" t="str">
            <v>Kroasia</v>
          </cell>
          <cell r="U38" t="str">
            <v>Croatia</v>
          </cell>
          <cell r="V38" t="str">
            <v>Croazia</v>
          </cell>
          <cell r="W38" t="str">
            <v>크로아티아</v>
          </cell>
          <cell r="X38" t="str">
            <v>Kroatija</v>
          </cell>
          <cell r="Y38" t="str">
            <v>хрватска</v>
          </cell>
          <cell r="Z38" t="str">
            <v>Kroazja</v>
          </cell>
          <cell r="AA38" t="str">
            <v>Kroatia</v>
          </cell>
          <cell r="AB38" t="str">
            <v>کرواسی</v>
          </cell>
          <cell r="AC38" t="str">
            <v>Chorwacja</v>
          </cell>
          <cell r="AD38" t="str">
            <v>Croácia</v>
          </cell>
          <cell r="AE38" t="str">
            <v>Croația</v>
          </cell>
          <cell r="AF38" t="str">
            <v>Хорватия</v>
          </cell>
          <cell r="AG38" t="str">
            <v>Хрватска</v>
          </cell>
          <cell r="AH38" t="str">
            <v>Chorvátsko</v>
          </cell>
          <cell r="AI38" t="str">
            <v>Hrvaška</v>
          </cell>
          <cell r="AJ38" t="str">
            <v>Croacia</v>
          </cell>
          <cell r="AK38" t="str">
            <v>Kroatien</v>
          </cell>
          <cell r="AL38" t="str">
            <v>โครเอเชีย</v>
          </cell>
          <cell r="AM38" t="str">
            <v>Hırvatistan</v>
          </cell>
          <cell r="AN38" t="str">
            <v>Croatia</v>
          </cell>
          <cell r="AO38" t="str">
            <v>Хорватія</v>
          </cell>
          <cell r="AP38" t="str">
            <v>کروشیا</v>
          </cell>
          <cell r="AQ38" t="str">
            <v>Хорватия</v>
          </cell>
        </row>
        <row r="39">
          <cell r="A39" t="str">
            <v>Mexico</v>
          </cell>
          <cell r="B39" t="str">
            <v>Meksikë</v>
          </cell>
          <cell r="C39" t="str">
            <v>المكسيك</v>
          </cell>
          <cell r="D39" t="str">
            <v>Մեքսիկա</v>
          </cell>
          <cell r="E39" t="str">
            <v>Meksika</v>
          </cell>
          <cell r="F39" t="str">
            <v>Мексико</v>
          </cell>
          <cell r="G39" t="str">
            <v>Mèxic</v>
          </cell>
          <cell r="H39" t="str">
            <v>墨西哥</v>
          </cell>
          <cell r="I39" t="str">
            <v>墨西哥</v>
          </cell>
          <cell r="J39" t="str">
            <v>Meksiko</v>
          </cell>
          <cell r="K39" t="str">
            <v>Mexiko</v>
          </cell>
          <cell r="L39" t="str">
            <v>Mexico</v>
          </cell>
          <cell r="M39" t="str">
            <v>Mexico</v>
          </cell>
          <cell r="N39" t="str">
            <v>Mexique</v>
          </cell>
          <cell r="O39" t="str">
            <v>მექსიკა</v>
          </cell>
          <cell r="P39" t="str">
            <v>Mexiko</v>
          </cell>
          <cell r="Q39" t="str">
            <v>Μεξικό</v>
          </cell>
          <cell r="R39" t="str">
            <v>מקסיקו</v>
          </cell>
          <cell r="S39" t="str">
            <v>Mexikó</v>
          </cell>
          <cell r="T39" t="str">
            <v>Meksiko</v>
          </cell>
          <cell r="U39" t="str">
            <v>Mexico</v>
          </cell>
          <cell r="V39" t="str">
            <v>Messico</v>
          </cell>
          <cell r="W39" t="str">
            <v>멕시코</v>
          </cell>
          <cell r="X39" t="str">
            <v>Meksika</v>
          </cell>
          <cell r="Y39" t="str">
            <v>Мексико</v>
          </cell>
          <cell r="Z39" t="str">
            <v>Messiku</v>
          </cell>
          <cell r="AA39" t="str">
            <v>Mexico</v>
          </cell>
          <cell r="AB39" t="str">
            <v>مکزیک</v>
          </cell>
          <cell r="AC39" t="str">
            <v>Meksyk</v>
          </cell>
          <cell r="AD39" t="str">
            <v>México</v>
          </cell>
          <cell r="AE39" t="str">
            <v>Mexic</v>
          </cell>
          <cell r="AF39" t="str">
            <v>Мексика</v>
          </cell>
          <cell r="AG39" t="str">
            <v>Мексико</v>
          </cell>
          <cell r="AH39" t="str">
            <v>Mexiko</v>
          </cell>
          <cell r="AI39" t="str">
            <v>mexico</v>
          </cell>
          <cell r="AJ39" t="str">
            <v>México</v>
          </cell>
          <cell r="AK39" t="str">
            <v>Mexiko</v>
          </cell>
          <cell r="AL39" t="str">
            <v>ประเทศเม็กซิโก</v>
          </cell>
          <cell r="AM39" t="str">
            <v>Meksika</v>
          </cell>
          <cell r="AN39" t="str">
            <v>Mexico</v>
          </cell>
          <cell r="AO39" t="str">
            <v>Мексика</v>
          </cell>
          <cell r="AP39" t="str">
            <v>میکسیکو</v>
          </cell>
          <cell r="AQ39" t="str">
            <v>Мексика</v>
          </cell>
        </row>
        <row r="40">
          <cell r="A40" t="str">
            <v>Uruguay</v>
          </cell>
          <cell r="B40" t="str">
            <v>Uruguay</v>
          </cell>
          <cell r="C40" t="str">
            <v>أوروغواي</v>
          </cell>
          <cell r="D40" t="str">
            <v>Ուրուգվայ</v>
          </cell>
          <cell r="E40" t="str">
            <v>Uruqvay</v>
          </cell>
          <cell r="F40" t="str">
            <v>Уругвай</v>
          </cell>
          <cell r="G40" t="str">
            <v>Uruguai</v>
          </cell>
          <cell r="H40" t="str">
            <v>乌拉圭</v>
          </cell>
          <cell r="I40" t="str">
            <v>烏拉圭</v>
          </cell>
          <cell r="J40" t="str">
            <v>Urugvaj</v>
          </cell>
          <cell r="K40" t="str">
            <v>Uruguay</v>
          </cell>
          <cell r="L40" t="str">
            <v>Uruguay</v>
          </cell>
          <cell r="M40" t="str">
            <v>Uruguay</v>
          </cell>
          <cell r="N40" t="str">
            <v>Uruguay</v>
          </cell>
          <cell r="O40" t="str">
            <v>ურუგვაის</v>
          </cell>
          <cell r="P40" t="str">
            <v>Uruguay</v>
          </cell>
          <cell r="Q40" t="str">
            <v>Ουρουγουάη</v>
          </cell>
          <cell r="R40" t="str">
            <v>אורוגוואי</v>
          </cell>
          <cell r="S40" t="str">
            <v>Uruguay</v>
          </cell>
          <cell r="T40" t="str">
            <v>Uruguay</v>
          </cell>
          <cell r="U40" t="str">
            <v>Uruguay</v>
          </cell>
          <cell r="V40" t="str">
            <v>Uruguay</v>
          </cell>
          <cell r="W40" t="str">
            <v>우루과이</v>
          </cell>
          <cell r="X40" t="str">
            <v>Urugvajus</v>
          </cell>
          <cell r="Y40" t="str">
            <v>Уругвајската</v>
          </cell>
          <cell r="Z40" t="str">
            <v>Urugwaj</v>
          </cell>
          <cell r="AA40" t="str">
            <v>Uruguay</v>
          </cell>
          <cell r="AB40" t="str">
            <v>اروگوئه</v>
          </cell>
          <cell r="AC40" t="str">
            <v>Urugwaj</v>
          </cell>
          <cell r="AD40" t="str">
            <v>Uruguai</v>
          </cell>
          <cell r="AE40" t="str">
            <v>Uruguay</v>
          </cell>
          <cell r="AF40" t="str">
            <v>Уругвай</v>
          </cell>
          <cell r="AG40" t="str">
            <v>Уругвај</v>
          </cell>
          <cell r="AH40" t="str">
            <v>Uruguaj</v>
          </cell>
          <cell r="AI40" t="str">
            <v>Urugvaj</v>
          </cell>
          <cell r="AJ40" t="str">
            <v>Uruguay</v>
          </cell>
          <cell r="AK40" t="str">
            <v>Uruguay</v>
          </cell>
          <cell r="AL40" t="str">
            <v>ประเทศอุรุกวัย</v>
          </cell>
          <cell r="AM40" t="str">
            <v>Uruguay</v>
          </cell>
          <cell r="AN40" t="str">
            <v>Uruguay</v>
          </cell>
          <cell r="AO40" t="str">
            <v>Уругвай</v>
          </cell>
          <cell r="AP40" t="str">
            <v>یوراگوئے</v>
          </cell>
          <cell r="AQ40" t="str">
            <v>Уругвай</v>
          </cell>
        </row>
        <row r="41">
          <cell r="A41" t="str">
            <v>France</v>
          </cell>
          <cell r="B41" t="str">
            <v>Francë</v>
          </cell>
          <cell r="C41" t="str">
            <v>فرنسا</v>
          </cell>
          <cell r="D41" t="str">
            <v>Ֆրանսիա</v>
          </cell>
          <cell r="E41" t="str">
            <v>Fransa</v>
          </cell>
          <cell r="F41" t="str">
            <v>Франция</v>
          </cell>
          <cell r="G41" t="str">
            <v>França</v>
          </cell>
          <cell r="H41" t="str">
            <v>法国</v>
          </cell>
          <cell r="I41" t="str">
            <v>法國</v>
          </cell>
          <cell r="J41" t="str">
            <v>Francuska</v>
          </cell>
          <cell r="K41" t="str">
            <v>Francie</v>
          </cell>
          <cell r="L41" t="str">
            <v>Frankrig</v>
          </cell>
          <cell r="M41" t="str">
            <v>Frankrijk</v>
          </cell>
          <cell r="N41" t="str">
            <v>France</v>
          </cell>
          <cell r="O41" t="str">
            <v>საფრანგეთი</v>
          </cell>
          <cell r="P41" t="str">
            <v>Frankreich</v>
          </cell>
          <cell r="Q41" t="str">
            <v>Γαλλία</v>
          </cell>
          <cell r="R41" t="str">
            <v>צרפת</v>
          </cell>
          <cell r="S41" t="str">
            <v>Franciaország</v>
          </cell>
          <cell r="T41" t="str">
            <v>Perancis</v>
          </cell>
          <cell r="U41" t="str">
            <v>France</v>
          </cell>
          <cell r="V41" t="str">
            <v>Francia</v>
          </cell>
          <cell r="W41" t="str">
            <v>프랑스</v>
          </cell>
          <cell r="X41" t="str">
            <v>Prancūzija</v>
          </cell>
          <cell r="Y41" t="str">
            <v>Франција</v>
          </cell>
          <cell r="Z41" t="str">
            <v>Franza</v>
          </cell>
          <cell r="AA41" t="str">
            <v>Frankrike</v>
          </cell>
          <cell r="AB41" t="str">
            <v>فرانسه</v>
          </cell>
          <cell r="AC41" t="str">
            <v>Francja</v>
          </cell>
          <cell r="AD41" t="str">
            <v>França</v>
          </cell>
          <cell r="AE41" t="str">
            <v>Franța</v>
          </cell>
          <cell r="AF41" t="str">
            <v>Франция</v>
          </cell>
          <cell r="AG41" t="str">
            <v>Француска</v>
          </cell>
          <cell r="AH41" t="str">
            <v>Francúzsko</v>
          </cell>
          <cell r="AI41" t="str">
            <v>France</v>
          </cell>
          <cell r="AJ41" t="str">
            <v>Francia</v>
          </cell>
          <cell r="AK41" t="str">
            <v>Frankrike</v>
          </cell>
          <cell r="AL41" t="str">
            <v>ฝรั่งเศส</v>
          </cell>
          <cell r="AM41" t="str">
            <v>Fransa</v>
          </cell>
          <cell r="AN41" t="str">
            <v>Pháp</v>
          </cell>
          <cell r="AO41" t="str">
            <v>Франція</v>
          </cell>
          <cell r="AP41" t="str">
            <v>فرانس</v>
          </cell>
          <cell r="AQ41" t="str">
            <v>Франция</v>
          </cell>
        </row>
        <row r="42">
          <cell r="A42" t="str">
            <v>Argentina</v>
          </cell>
          <cell r="B42" t="str">
            <v>Argjentinë</v>
          </cell>
          <cell r="C42" t="str">
            <v>الأرجنتين</v>
          </cell>
          <cell r="D42" t="str">
            <v>Արգենտինա</v>
          </cell>
          <cell r="E42" t="str">
            <v>Argentina</v>
          </cell>
          <cell r="F42" t="str">
            <v>Аржентина</v>
          </cell>
          <cell r="G42" t="str">
            <v>Argentina</v>
          </cell>
          <cell r="H42" t="str">
            <v>阿根廷</v>
          </cell>
          <cell r="I42" t="str">
            <v>阿根廷</v>
          </cell>
          <cell r="J42" t="str">
            <v>Argentina</v>
          </cell>
          <cell r="K42" t="str">
            <v>Argentina</v>
          </cell>
          <cell r="L42" t="str">
            <v>Argentina</v>
          </cell>
          <cell r="M42" t="str">
            <v>Argentinië</v>
          </cell>
          <cell r="N42" t="str">
            <v>Argentine</v>
          </cell>
          <cell r="O42" t="str">
            <v>არგენტინის</v>
          </cell>
          <cell r="P42" t="str">
            <v>Argentinien</v>
          </cell>
          <cell r="Q42" t="str">
            <v>Αργεντινή</v>
          </cell>
          <cell r="R42" t="str">
            <v>ארגנטינה</v>
          </cell>
          <cell r="S42" t="str">
            <v>Argentína</v>
          </cell>
          <cell r="T42" t="str">
            <v>Argentina</v>
          </cell>
          <cell r="U42" t="str">
            <v>Argentina</v>
          </cell>
          <cell r="V42" t="str">
            <v>Argentina</v>
          </cell>
          <cell r="W42" t="str">
            <v>아르헨티나</v>
          </cell>
          <cell r="X42" t="str">
            <v>Argentina</v>
          </cell>
          <cell r="Y42" t="str">
            <v>Аргентина</v>
          </cell>
          <cell r="Z42" t="str">
            <v>Arġentina</v>
          </cell>
          <cell r="AA42" t="str">
            <v>Argentina</v>
          </cell>
          <cell r="AB42" t="str">
            <v>آرژانتین</v>
          </cell>
          <cell r="AC42" t="str">
            <v>Argentyna</v>
          </cell>
          <cell r="AD42" t="str">
            <v>Argentina</v>
          </cell>
          <cell r="AE42" t="str">
            <v>Argentina</v>
          </cell>
          <cell r="AF42" t="str">
            <v>Аргентина</v>
          </cell>
          <cell r="AG42" t="str">
            <v>Аргентина</v>
          </cell>
          <cell r="AH42" t="str">
            <v>Argentína</v>
          </cell>
          <cell r="AI42" t="str">
            <v>Argentina</v>
          </cell>
          <cell r="AJ42" t="str">
            <v>Argentina</v>
          </cell>
          <cell r="AK42" t="str">
            <v>Argentina</v>
          </cell>
          <cell r="AL42" t="str">
            <v>อาร์เจนตินา</v>
          </cell>
          <cell r="AM42" t="str">
            <v>Arjantin</v>
          </cell>
          <cell r="AN42" t="str">
            <v>Argentina</v>
          </cell>
          <cell r="AO42" t="str">
            <v>Аргентина</v>
          </cell>
          <cell r="AP42" t="str">
            <v>ارجنٹینا</v>
          </cell>
          <cell r="AQ42" t="str">
            <v>Аргентина</v>
          </cell>
        </row>
        <row r="43">
          <cell r="A43" t="str">
            <v>Nigeria</v>
          </cell>
          <cell r="B43" t="str">
            <v>Nigeri</v>
          </cell>
          <cell r="C43" t="str">
            <v>نيجيريا</v>
          </cell>
          <cell r="D43" t="str">
            <v>Նիգերիա</v>
          </cell>
          <cell r="E43" t="str">
            <v>Nigeria</v>
          </cell>
          <cell r="F43" t="str">
            <v>Нигерия</v>
          </cell>
          <cell r="G43" t="str">
            <v>Nigèria</v>
          </cell>
          <cell r="H43" t="str">
            <v>尼日利亚</v>
          </cell>
          <cell r="I43" t="str">
            <v>尼日利亞</v>
          </cell>
          <cell r="J43" t="str">
            <v>Nigerija</v>
          </cell>
          <cell r="K43" t="str">
            <v>Nigérie</v>
          </cell>
          <cell r="L43" t="str">
            <v>Nigeria</v>
          </cell>
          <cell r="M43" t="str">
            <v>Nigeria</v>
          </cell>
          <cell r="N43" t="str">
            <v>Nigeria</v>
          </cell>
          <cell r="O43" t="str">
            <v>ნიგერიის</v>
          </cell>
          <cell r="P43" t="str">
            <v>Nigeria</v>
          </cell>
          <cell r="Q43" t="str">
            <v>Νιγηρία</v>
          </cell>
          <cell r="R43" t="str">
            <v>ניגריה</v>
          </cell>
          <cell r="S43" t="str">
            <v>Nigéria</v>
          </cell>
          <cell r="T43" t="str">
            <v>Nigeria</v>
          </cell>
          <cell r="U43" t="str">
            <v>Nígería</v>
          </cell>
          <cell r="V43" t="str">
            <v>Nigeria</v>
          </cell>
          <cell r="W43" t="str">
            <v>나이지리아</v>
          </cell>
          <cell r="X43" t="str">
            <v>Nigerija</v>
          </cell>
          <cell r="Y43" t="str">
            <v>Нигерија</v>
          </cell>
          <cell r="Z43" t="str">
            <v>Niġerja</v>
          </cell>
          <cell r="AA43" t="str">
            <v>Nigeria</v>
          </cell>
          <cell r="AB43" t="str">
            <v>نیجریه</v>
          </cell>
          <cell r="AC43" t="str">
            <v>Nigeria</v>
          </cell>
          <cell r="AD43" t="str">
            <v>Nigéria</v>
          </cell>
          <cell r="AE43" t="str">
            <v>Nigeria</v>
          </cell>
          <cell r="AF43" t="str">
            <v>Нигерия</v>
          </cell>
          <cell r="AG43" t="str">
            <v>Нигерија</v>
          </cell>
          <cell r="AH43" t="str">
            <v>Nigéria</v>
          </cell>
          <cell r="AI43" t="str">
            <v>Nigerija</v>
          </cell>
          <cell r="AJ43" t="str">
            <v>Nigeria</v>
          </cell>
          <cell r="AK43" t="str">
            <v>Nigeria</v>
          </cell>
          <cell r="AL43" t="str">
            <v>ไนจีเรีย</v>
          </cell>
          <cell r="AM43" t="str">
            <v>Nijerya</v>
          </cell>
          <cell r="AN43" t="str">
            <v>Nigeria</v>
          </cell>
          <cell r="AO43" t="str">
            <v>Нігерія</v>
          </cell>
          <cell r="AP43" t="str">
            <v>نائیجیریا</v>
          </cell>
          <cell r="AQ43" t="str">
            <v>Нигерия</v>
          </cell>
        </row>
        <row r="44">
          <cell r="A44" t="str">
            <v>Korea Republic</v>
          </cell>
          <cell r="B44" t="str">
            <v>Korea Republic</v>
          </cell>
          <cell r="C44" t="str">
            <v>جمهورية كوريا</v>
          </cell>
          <cell r="D44" t="str">
            <v>Կորեայի Հանրապետություն</v>
          </cell>
          <cell r="E44" t="str">
            <v>Koreya Respublikası</v>
          </cell>
          <cell r="F44" t="str">
            <v>Република Корея</v>
          </cell>
          <cell r="G44" t="str">
            <v>República de Corea</v>
          </cell>
          <cell r="H44" t="str">
            <v>韩国</v>
          </cell>
          <cell r="I44" t="str">
            <v>韓國</v>
          </cell>
          <cell r="J44" t="str">
            <v>Južna Koreja</v>
          </cell>
          <cell r="K44" t="str">
            <v>Jižní Korea</v>
          </cell>
          <cell r="L44" t="str">
            <v>Sydkorea</v>
          </cell>
          <cell r="M44" t="str">
            <v>Zuid-Korea</v>
          </cell>
          <cell r="N44" t="str">
            <v>République de Corée</v>
          </cell>
          <cell r="O44" t="str">
            <v>კორეის რესპუბლიკა</v>
          </cell>
          <cell r="P44" t="str">
            <v>Korea Republik</v>
          </cell>
          <cell r="Q44" t="str">
            <v>Δημοκρατία της Κορέας</v>
          </cell>
          <cell r="R44" t="str">
            <v>קוריאה רפובליקה</v>
          </cell>
          <cell r="S44" t="str">
            <v>Dél-Korea</v>
          </cell>
          <cell r="T44" t="str">
            <v>Republik Korea</v>
          </cell>
          <cell r="U44" t="str">
            <v>Kórea</v>
          </cell>
          <cell r="V44" t="str">
            <v>Corea del Sud</v>
          </cell>
          <cell r="W44" t="str">
            <v>한국</v>
          </cell>
          <cell r="X44" t="str">
            <v>Korėjos Respublika</v>
          </cell>
          <cell r="Y44" t="str">
            <v>Кореја Република</v>
          </cell>
          <cell r="Z44" t="str">
            <v>Korea Repubblika</v>
          </cell>
          <cell r="AA44" t="str">
            <v>Sør-Korea</v>
          </cell>
          <cell r="AB44" t="str">
            <v>کره جنوبی</v>
          </cell>
          <cell r="AC44" t="str">
            <v>Korea Południowa</v>
          </cell>
          <cell r="AD44" t="str">
            <v>República da Coréia</v>
          </cell>
          <cell r="AE44" t="str">
            <v>Coreea de Sud</v>
          </cell>
          <cell r="AF44" t="str">
            <v>Южная Корея</v>
          </cell>
          <cell r="AG44" t="str">
            <v>Република Кореја</v>
          </cell>
          <cell r="AH44" t="str">
            <v>Južná Kórea</v>
          </cell>
          <cell r="AI44" t="str">
            <v>Južna Koreja</v>
          </cell>
          <cell r="AJ44" t="str">
            <v>República de Corea</v>
          </cell>
          <cell r="AK44" t="str">
            <v>Sydkorea</v>
          </cell>
          <cell r="AL44" t="str">
            <v>เกาหลีใต้</v>
          </cell>
          <cell r="AM44" t="str">
            <v>Kore Cumhuriyeti</v>
          </cell>
          <cell r="AN44" t="str">
            <v>Hàn Quốc</v>
          </cell>
          <cell r="AO44" t="str">
            <v>Південна Корея</v>
          </cell>
          <cell r="AP44" t="str">
            <v>جمہوریہ کوریا</v>
          </cell>
          <cell r="AQ44" t="str">
            <v>Жанубий Корея</v>
          </cell>
        </row>
        <row r="45">
          <cell r="A45" t="str">
            <v>Poland</v>
          </cell>
          <cell r="B45" t="str">
            <v>Poloni</v>
          </cell>
          <cell r="C45" t="str">
            <v>بولندا</v>
          </cell>
          <cell r="D45" t="str">
            <v>Լեհաստան</v>
          </cell>
          <cell r="E45" t="str">
            <v>Polşa</v>
          </cell>
          <cell r="F45" t="str">
            <v>Полша</v>
          </cell>
          <cell r="G45" t="str">
            <v>Polònia</v>
          </cell>
          <cell r="H45" t="str">
            <v>波兰</v>
          </cell>
          <cell r="I45" t="str">
            <v>波蘭</v>
          </cell>
          <cell r="J45" t="str">
            <v>Poljska</v>
          </cell>
          <cell r="K45" t="str">
            <v>Polsko</v>
          </cell>
          <cell r="L45" t="str">
            <v>Polen</v>
          </cell>
          <cell r="M45" t="str">
            <v>Polen</v>
          </cell>
          <cell r="N45" t="str">
            <v>Pologne</v>
          </cell>
          <cell r="O45" t="str">
            <v>პოლონეთი</v>
          </cell>
          <cell r="P45" t="str">
            <v>Polen</v>
          </cell>
          <cell r="Q45" t="str">
            <v>Πολωνία</v>
          </cell>
          <cell r="R45" t="str">
            <v>פּוֹלִין</v>
          </cell>
          <cell r="S45" t="str">
            <v>Lengyelország</v>
          </cell>
          <cell r="T45" t="str">
            <v>Polandia</v>
          </cell>
          <cell r="U45" t="str">
            <v>Poland</v>
          </cell>
          <cell r="V45" t="str">
            <v>Polonia</v>
          </cell>
          <cell r="W45" t="str">
            <v>폴란드</v>
          </cell>
          <cell r="X45" t="str">
            <v>Lenkija</v>
          </cell>
          <cell r="Y45" t="str">
            <v>Полска</v>
          </cell>
          <cell r="Z45" t="str">
            <v>Polonja</v>
          </cell>
          <cell r="AA45" t="str">
            <v>Polen</v>
          </cell>
          <cell r="AB45" t="str">
            <v>لهستان</v>
          </cell>
          <cell r="AC45" t="str">
            <v>Polska</v>
          </cell>
          <cell r="AD45" t="str">
            <v>Polônia</v>
          </cell>
          <cell r="AE45" t="str">
            <v>Polonia</v>
          </cell>
          <cell r="AF45" t="str">
            <v>Польша</v>
          </cell>
          <cell r="AG45" t="str">
            <v>Пољска</v>
          </cell>
          <cell r="AH45" t="str">
            <v>Poľsko</v>
          </cell>
          <cell r="AI45" t="str">
            <v>Poljska</v>
          </cell>
          <cell r="AJ45" t="str">
            <v>Polonia</v>
          </cell>
          <cell r="AK45" t="str">
            <v>polen</v>
          </cell>
          <cell r="AL45" t="str">
            <v>โปแลนด์</v>
          </cell>
          <cell r="AM45" t="str">
            <v>Polonya</v>
          </cell>
          <cell r="AN45" t="str">
            <v>Ba Lan</v>
          </cell>
          <cell r="AO45" t="str">
            <v>Польща</v>
          </cell>
          <cell r="AP45" t="str">
            <v>پولینڈ</v>
          </cell>
          <cell r="AQ45" t="str">
            <v>Польша</v>
          </cell>
        </row>
        <row r="46">
          <cell r="A46" t="str">
            <v>England</v>
          </cell>
          <cell r="B46" t="str">
            <v>Angli</v>
          </cell>
          <cell r="C46" t="str">
            <v>انجلترا</v>
          </cell>
          <cell r="D46" t="str">
            <v>Անգլիա</v>
          </cell>
          <cell r="E46" t="str">
            <v>İngiltərə</v>
          </cell>
          <cell r="F46" t="str">
            <v>Англия</v>
          </cell>
          <cell r="G46" t="str">
            <v>Anglaterra</v>
          </cell>
          <cell r="H46" t="str">
            <v>英国</v>
          </cell>
          <cell r="I46" t="str">
            <v>英國</v>
          </cell>
          <cell r="J46" t="str">
            <v>Engleska</v>
          </cell>
          <cell r="K46" t="str">
            <v>Anglie</v>
          </cell>
          <cell r="L46" t="str">
            <v>England</v>
          </cell>
          <cell r="M46" t="str">
            <v>Engeland</v>
          </cell>
          <cell r="N46" t="str">
            <v>Angleterre</v>
          </cell>
          <cell r="O46" t="str">
            <v>ინგლისი</v>
          </cell>
          <cell r="P46" t="str">
            <v>England</v>
          </cell>
          <cell r="Q46" t="str">
            <v>Αγγλία</v>
          </cell>
          <cell r="R46" t="str">
            <v>אנגליה</v>
          </cell>
          <cell r="S46" t="str">
            <v>Anglia</v>
          </cell>
          <cell r="T46" t="str">
            <v>Inggris</v>
          </cell>
          <cell r="U46" t="str">
            <v>England</v>
          </cell>
          <cell r="V46" t="str">
            <v>Inghilterra</v>
          </cell>
          <cell r="W46" t="str">
            <v>영국</v>
          </cell>
          <cell r="X46" t="str">
            <v>Anglija</v>
          </cell>
          <cell r="Y46" t="str">
            <v>Англија</v>
          </cell>
          <cell r="Z46" t="str">
            <v>Ingilterra</v>
          </cell>
          <cell r="AA46" t="str">
            <v>England</v>
          </cell>
          <cell r="AB46" t="str">
            <v>انگلستان</v>
          </cell>
          <cell r="AC46" t="str">
            <v>Anglia</v>
          </cell>
          <cell r="AD46" t="str">
            <v>Inglaterra</v>
          </cell>
          <cell r="AE46" t="str">
            <v>Anglia</v>
          </cell>
          <cell r="AF46" t="str">
            <v>Англия</v>
          </cell>
          <cell r="AG46" t="str">
            <v>Енглеска</v>
          </cell>
          <cell r="AH46" t="str">
            <v>Anglicko</v>
          </cell>
          <cell r="AI46" t="str">
            <v>Anglija</v>
          </cell>
          <cell r="AJ46" t="str">
            <v>Inglaterra</v>
          </cell>
          <cell r="AK46" t="str">
            <v>England</v>
          </cell>
          <cell r="AL46" t="str">
            <v>อังกฤษ</v>
          </cell>
          <cell r="AM46" t="str">
            <v>İngiltere</v>
          </cell>
          <cell r="AN46" t="str">
            <v>Anh</v>
          </cell>
          <cell r="AO46" t="str">
            <v>Англія</v>
          </cell>
          <cell r="AP46" t="str">
            <v>انگلینڈ</v>
          </cell>
          <cell r="AQ46" t="str">
            <v>Англия</v>
          </cell>
        </row>
        <row r="47">
          <cell r="A47" t="str">
            <v>Serbia</v>
          </cell>
          <cell r="B47" t="str">
            <v>Serbia</v>
          </cell>
          <cell r="C47" t="str">
            <v>صربيا</v>
          </cell>
          <cell r="D47" t="str">
            <v>Սերբիա</v>
          </cell>
          <cell r="E47" t="str">
            <v>Serbiya</v>
          </cell>
          <cell r="F47" t="str">
            <v>Сърбия</v>
          </cell>
          <cell r="G47" t="str">
            <v>Sèrbia</v>
          </cell>
          <cell r="H47" t="str">
            <v>塞尔维亚</v>
          </cell>
          <cell r="I47" t="str">
            <v>塞爾維亞</v>
          </cell>
          <cell r="J47" t="str">
            <v>Srbija</v>
          </cell>
          <cell r="K47" t="str">
            <v>Srbsko</v>
          </cell>
          <cell r="L47" t="str">
            <v>Serbien</v>
          </cell>
          <cell r="M47" t="str">
            <v>Servië</v>
          </cell>
          <cell r="N47" t="str">
            <v>Serbie</v>
          </cell>
          <cell r="O47" t="str">
            <v>სერბეთი</v>
          </cell>
          <cell r="P47" t="str">
            <v>Serbien</v>
          </cell>
          <cell r="Q47" t="str">
            <v>Σερβία</v>
          </cell>
          <cell r="R47" t="str">
            <v>סרביה</v>
          </cell>
          <cell r="S47" t="str">
            <v>Szerbia</v>
          </cell>
          <cell r="T47" t="str">
            <v>Serbia</v>
          </cell>
          <cell r="U47" t="str">
            <v>Serbía</v>
          </cell>
          <cell r="V47" t="str">
            <v>Serbia</v>
          </cell>
          <cell r="W47" t="str">
            <v>세르비아</v>
          </cell>
          <cell r="X47" t="str">
            <v>Serbija</v>
          </cell>
          <cell r="Y47" t="str">
            <v>Србија</v>
          </cell>
          <cell r="Z47" t="str">
            <v>Serbja</v>
          </cell>
          <cell r="AA47" t="str">
            <v>Serbia</v>
          </cell>
          <cell r="AB47" t="str">
            <v>صربستان</v>
          </cell>
          <cell r="AC47" t="str">
            <v>Serbia</v>
          </cell>
          <cell r="AD47" t="str">
            <v>Sérvia</v>
          </cell>
          <cell r="AE47" t="str">
            <v>Serbia</v>
          </cell>
          <cell r="AF47" t="str">
            <v>Сербия</v>
          </cell>
          <cell r="AG47" t="str">
            <v>Србија</v>
          </cell>
          <cell r="AH47" t="str">
            <v>Srbsko</v>
          </cell>
          <cell r="AI47" t="str">
            <v>Srbija</v>
          </cell>
          <cell r="AJ47" t="str">
            <v>Serbia</v>
          </cell>
          <cell r="AK47" t="str">
            <v>Serbien</v>
          </cell>
          <cell r="AL47" t="str">
            <v>เซอร์เบีย</v>
          </cell>
          <cell r="AM47" t="str">
            <v>Sırbistan</v>
          </cell>
          <cell r="AN47" t="str">
            <v>Serbia</v>
          </cell>
          <cell r="AO47" t="str">
            <v>Сербія</v>
          </cell>
          <cell r="AP47" t="str">
            <v>سربیا</v>
          </cell>
          <cell r="AQ47" t="str">
            <v>Сербия</v>
          </cell>
        </row>
        <row r="48">
          <cell r="A48" t="str">
            <v>Peru</v>
          </cell>
          <cell r="B48" t="str">
            <v>Peru</v>
          </cell>
          <cell r="C48" t="str">
            <v>بيرو</v>
          </cell>
          <cell r="D48" t="str">
            <v>Պերու</v>
          </cell>
          <cell r="E48" t="str">
            <v>Peru</v>
          </cell>
          <cell r="F48" t="str">
            <v>Перу</v>
          </cell>
          <cell r="G48" t="str">
            <v>Perú</v>
          </cell>
          <cell r="H48" t="str">
            <v>秘鲁</v>
          </cell>
          <cell r="I48" t="str">
            <v>秘魯</v>
          </cell>
          <cell r="J48" t="str">
            <v>Peru</v>
          </cell>
          <cell r="K48" t="str">
            <v>Peru</v>
          </cell>
          <cell r="L48" t="str">
            <v>Peru</v>
          </cell>
          <cell r="M48" t="str">
            <v>Peru</v>
          </cell>
          <cell r="N48" t="str">
            <v>Pérou</v>
          </cell>
          <cell r="O48" t="str">
            <v>პერუს</v>
          </cell>
          <cell r="P48" t="str">
            <v>Peru</v>
          </cell>
          <cell r="Q48" t="str">
            <v>Περού</v>
          </cell>
          <cell r="R48" t="str">
            <v>פרו</v>
          </cell>
          <cell r="S48" t="str">
            <v>Peru</v>
          </cell>
          <cell r="T48" t="str">
            <v>Peru</v>
          </cell>
          <cell r="U48" t="str">
            <v>Peru</v>
          </cell>
          <cell r="V48" t="str">
            <v>Perù</v>
          </cell>
          <cell r="W48" t="str">
            <v>페루</v>
          </cell>
          <cell r="X48" t="str">
            <v>Peru</v>
          </cell>
          <cell r="Y48" t="str">
            <v>Перу</v>
          </cell>
          <cell r="Z48" t="str">
            <v>Perù</v>
          </cell>
          <cell r="AA48" t="str">
            <v>Peru</v>
          </cell>
          <cell r="AB48" t="str">
            <v>پرو</v>
          </cell>
          <cell r="AC48" t="str">
            <v>Peru</v>
          </cell>
          <cell r="AD48" t="str">
            <v>Peru</v>
          </cell>
          <cell r="AE48" t="str">
            <v>Peru</v>
          </cell>
          <cell r="AF48" t="str">
            <v>Перу</v>
          </cell>
          <cell r="AG48" t="str">
            <v>Перу</v>
          </cell>
          <cell r="AH48" t="str">
            <v>Peru</v>
          </cell>
          <cell r="AI48" t="str">
            <v>Peru</v>
          </cell>
          <cell r="AJ48" t="str">
            <v>Perú</v>
          </cell>
          <cell r="AK48" t="str">
            <v>peru</v>
          </cell>
          <cell r="AL48" t="str">
            <v>เปรู</v>
          </cell>
          <cell r="AM48" t="str">
            <v>Peru</v>
          </cell>
          <cell r="AN48" t="str">
            <v>Peru</v>
          </cell>
          <cell r="AO48" t="str">
            <v>Перу</v>
          </cell>
          <cell r="AP48" t="str">
            <v>پیرو</v>
          </cell>
          <cell r="AQ48" t="str">
            <v>Перу</v>
          </cell>
        </row>
        <row r="49">
          <cell r="A49" t="str">
            <v>Russia</v>
          </cell>
          <cell r="B49" t="str">
            <v>Rusi</v>
          </cell>
          <cell r="C49" t="str">
            <v>روسيا</v>
          </cell>
          <cell r="D49" t="str">
            <v>Ռուսաստան</v>
          </cell>
          <cell r="E49" t="str">
            <v>Rusiya</v>
          </cell>
          <cell r="F49" t="str">
            <v>Русия</v>
          </cell>
          <cell r="G49" t="str">
            <v>Rússia</v>
          </cell>
          <cell r="H49" t="str">
            <v>俄国</v>
          </cell>
          <cell r="I49" t="str">
            <v>俄國</v>
          </cell>
          <cell r="J49" t="str">
            <v>Rusija</v>
          </cell>
          <cell r="K49" t="str">
            <v>Rusko</v>
          </cell>
          <cell r="L49" t="str">
            <v>Rusland</v>
          </cell>
          <cell r="M49" t="str">
            <v>Rusland</v>
          </cell>
          <cell r="N49" t="str">
            <v>Russie</v>
          </cell>
          <cell r="O49" t="str">
            <v>რუსეთის</v>
          </cell>
          <cell r="P49" t="str">
            <v>Russland</v>
          </cell>
          <cell r="Q49" t="str">
            <v>Ρωσία</v>
          </cell>
          <cell r="R49" t="str">
            <v>רוסיה</v>
          </cell>
          <cell r="S49" t="str">
            <v>Oroszország</v>
          </cell>
          <cell r="T49" t="str">
            <v>Rusia</v>
          </cell>
          <cell r="U49" t="str">
            <v>Russia</v>
          </cell>
          <cell r="V49" t="str">
            <v>Russia</v>
          </cell>
          <cell r="W49" t="str">
            <v>러시아</v>
          </cell>
          <cell r="X49" t="str">
            <v>Rusija</v>
          </cell>
          <cell r="Y49" t="str">
            <v>Русија</v>
          </cell>
          <cell r="Z49" t="str">
            <v>Russja</v>
          </cell>
          <cell r="AA49" t="str">
            <v>Russland</v>
          </cell>
          <cell r="AB49" t="str">
            <v>روسیه،</v>
          </cell>
          <cell r="AC49" t="str">
            <v>Rosja</v>
          </cell>
          <cell r="AD49" t="str">
            <v>Rússia</v>
          </cell>
          <cell r="AE49" t="str">
            <v>Rusia</v>
          </cell>
          <cell r="AF49" t="str">
            <v>Россия</v>
          </cell>
          <cell r="AG49" t="str">
            <v>Русија</v>
          </cell>
          <cell r="AH49" t="str">
            <v>Rusko</v>
          </cell>
          <cell r="AI49" t="str">
            <v>Rusija</v>
          </cell>
          <cell r="AJ49" t="str">
            <v>Rusia</v>
          </cell>
          <cell r="AK49" t="str">
            <v>Ryssland</v>
          </cell>
          <cell r="AL49" t="str">
            <v>ประเทศรัสเซีย</v>
          </cell>
          <cell r="AM49" t="str">
            <v>Rusya</v>
          </cell>
          <cell r="AN49" t="str">
            <v>Nga</v>
          </cell>
          <cell r="AO49" t="str">
            <v>Росія</v>
          </cell>
          <cell r="AP49" t="str">
            <v>روس</v>
          </cell>
          <cell r="AQ49" t="str">
            <v>Россия</v>
          </cell>
        </row>
        <row r="50">
          <cell r="A50" t="str">
            <v>Germany</v>
          </cell>
          <cell r="B50" t="str">
            <v>Gjermani</v>
          </cell>
          <cell r="C50" t="str">
            <v>ألمانيا</v>
          </cell>
          <cell r="D50" t="str">
            <v>Գերմանիա</v>
          </cell>
          <cell r="E50" t="str">
            <v>Almaniya</v>
          </cell>
          <cell r="F50" t="str">
            <v>Германия</v>
          </cell>
          <cell r="G50" t="str">
            <v>Alemanya</v>
          </cell>
          <cell r="H50" t="str">
            <v>德国</v>
          </cell>
          <cell r="I50" t="str">
            <v>德國</v>
          </cell>
          <cell r="J50" t="str">
            <v>Njemačka</v>
          </cell>
          <cell r="K50" t="str">
            <v>Německo</v>
          </cell>
          <cell r="L50" t="str">
            <v>Tyskland</v>
          </cell>
          <cell r="M50" t="str">
            <v>Duitsland</v>
          </cell>
          <cell r="N50" t="str">
            <v>Allemagne</v>
          </cell>
          <cell r="O50" t="str">
            <v>გერმანია</v>
          </cell>
          <cell r="P50" t="str">
            <v>Deutschland</v>
          </cell>
          <cell r="Q50" t="str">
            <v>Γερμανία</v>
          </cell>
          <cell r="R50" t="str">
            <v>גרמניה</v>
          </cell>
          <cell r="S50" t="str">
            <v>Németország</v>
          </cell>
          <cell r="T50" t="str">
            <v>Jerman</v>
          </cell>
          <cell r="U50" t="str">
            <v>Þýskaland</v>
          </cell>
          <cell r="V50" t="str">
            <v>Germania</v>
          </cell>
          <cell r="W50" t="str">
            <v>독일</v>
          </cell>
          <cell r="X50" t="str">
            <v>Vokietija</v>
          </cell>
          <cell r="Y50" t="str">
            <v>германија</v>
          </cell>
          <cell r="Z50" t="str">
            <v>Ġermanja</v>
          </cell>
          <cell r="AA50" t="str">
            <v>Tyskland</v>
          </cell>
          <cell r="AB50" t="str">
            <v>آلمان</v>
          </cell>
          <cell r="AC50" t="str">
            <v>Niemcy</v>
          </cell>
          <cell r="AD50" t="str">
            <v>Alemanha</v>
          </cell>
          <cell r="AE50" t="str">
            <v>Germania</v>
          </cell>
          <cell r="AF50" t="str">
            <v>Германия</v>
          </cell>
          <cell r="AG50" t="str">
            <v>Немачка</v>
          </cell>
          <cell r="AH50" t="str">
            <v>Nemecko</v>
          </cell>
          <cell r="AI50" t="str">
            <v>Nemčija</v>
          </cell>
          <cell r="AJ50" t="str">
            <v>Alemania</v>
          </cell>
          <cell r="AK50" t="str">
            <v>Tyskland</v>
          </cell>
          <cell r="AL50" t="str">
            <v>ประเทศเยอรมัน</v>
          </cell>
          <cell r="AM50" t="str">
            <v>Almanya</v>
          </cell>
          <cell r="AN50" t="str">
            <v>Đức</v>
          </cell>
          <cell r="AO50" t="str">
            <v>Німеччина</v>
          </cell>
          <cell r="AP50" t="str">
            <v>جرمنی</v>
          </cell>
          <cell r="AQ50" t="str">
            <v>Германия</v>
          </cell>
        </row>
        <row r="51">
          <cell r="A51" t="str">
            <v>Australia</v>
          </cell>
          <cell r="B51" t="str">
            <v>Australi</v>
          </cell>
          <cell r="C51" t="str">
            <v>أستراليا</v>
          </cell>
          <cell r="D51" t="str">
            <v>Ավստրալիա</v>
          </cell>
          <cell r="E51" t="str">
            <v>Avstraliya</v>
          </cell>
          <cell r="F51" t="str">
            <v>Австралия</v>
          </cell>
          <cell r="G51" t="str">
            <v>Austràlia</v>
          </cell>
          <cell r="H51" t="str">
            <v>澳大利亚</v>
          </cell>
          <cell r="I51" t="str">
            <v>澳大利亞</v>
          </cell>
          <cell r="J51" t="str">
            <v>Australija</v>
          </cell>
          <cell r="K51" t="str">
            <v>Austrálie</v>
          </cell>
          <cell r="L51" t="str">
            <v>Australien</v>
          </cell>
          <cell r="M51" t="str">
            <v>Australië</v>
          </cell>
          <cell r="N51" t="str">
            <v>Australie</v>
          </cell>
          <cell r="O51" t="str">
            <v>ავსტრალიაში</v>
          </cell>
          <cell r="P51" t="str">
            <v>Australien</v>
          </cell>
          <cell r="Q51" t="str">
            <v>Αυστραλία</v>
          </cell>
          <cell r="R51" t="str">
            <v>אוסטרליה</v>
          </cell>
          <cell r="S51" t="str">
            <v>Ausztrália</v>
          </cell>
          <cell r="T51" t="str">
            <v>Australia</v>
          </cell>
          <cell r="U51" t="str">
            <v>Australia</v>
          </cell>
          <cell r="V51" t="str">
            <v>Australia</v>
          </cell>
          <cell r="W51" t="str">
            <v>호주</v>
          </cell>
          <cell r="X51" t="str">
            <v>Australija</v>
          </cell>
          <cell r="Y51" t="str">
            <v>Австралија</v>
          </cell>
          <cell r="Z51" t="str">
            <v>Awstralja</v>
          </cell>
          <cell r="AA51" t="str">
            <v>Australia</v>
          </cell>
          <cell r="AB51" t="str">
            <v>استرالیا</v>
          </cell>
          <cell r="AC51" t="str">
            <v>Australia</v>
          </cell>
          <cell r="AD51" t="str">
            <v>Austrália</v>
          </cell>
          <cell r="AE51" t="str">
            <v>Australia</v>
          </cell>
          <cell r="AF51" t="str">
            <v>Австралия</v>
          </cell>
          <cell r="AG51" t="str">
            <v>Аустралија</v>
          </cell>
          <cell r="AH51" t="str">
            <v>Austrália</v>
          </cell>
          <cell r="AI51" t="str">
            <v>Avstralija</v>
          </cell>
          <cell r="AJ51" t="str">
            <v>Australia</v>
          </cell>
          <cell r="AK51" t="str">
            <v>Australien</v>
          </cell>
          <cell r="AL51" t="str">
            <v>ออสเตรเลีย</v>
          </cell>
          <cell r="AM51" t="str">
            <v>Avustralya</v>
          </cell>
          <cell r="AN51" t="str">
            <v>Úc</v>
          </cell>
          <cell r="AO51" t="str">
            <v>Австралія</v>
          </cell>
          <cell r="AP51" t="str">
            <v>آسٹریلیا</v>
          </cell>
          <cell r="AQ51" t="str">
            <v>Австралия</v>
          </cell>
        </row>
        <row r="52">
          <cell r="A52" t="str">
            <v>Colombia</v>
          </cell>
          <cell r="B52" t="str">
            <v>Kolumbi</v>
          </cell>
          <cell r="C52" t="str">
            <v>كولومبيا</v>
          </cell>
          <cell r="D52" t="str">
            <v>Կոլումբիա</v>
          </cell>
          <cell r="E52" t="str">
            <v>Kolumbiya</v>
          </cell>
          <cell r="F52" t="str">
            <v>Колумбия</v>
          </cell>
          <cell r="G52" t="str">
            <v>Colòmbia</v>
          </cell>
          <cell r="H52" t="str">
            <v>哥伦比亚</v>
          </cell>
          <cell r="I52" t="str">
            <v>哥倫比亞</v>
          </cell>
          <cell r="J52" t="str">
            <v>Kolumbija</v>
          </cell>
          <cell r="K52" t="str">
            <v>Kolumbie</v>
          </cell>
          <cell r="L52" t="str">
            <v>Colombia</v>
          </cell>
          <cell r="M52" t="str">
            <v>Colombia</v>
          </cell>
          <cell r="N52" t="str">
            <v>Colombie</v>
          </cell>
          <cell r="O52" t="str">
            <v>კოლუმბია</v>
          </cell>
          <cell r="P52" t="str">
            <v>Kolumbien</v>
          </cell>
          <cell r="Q52" t="str">
            <v>Κολομβία</v>
          </cell>
          <cell r="R52" t="str">
            <v>קולומביה</v>
          </cell>
          <cell r="S52" t="str">
            <v>Colombia</v>
          </cell>
          <cell r="T52" t="str">
            <v>Kolumbia</v>
          </cell>
          <cell r="U52" t="str">
            <v>Colombia</v>
          </cell>
          <cell r="V52" t="str">
            <v>Colombia</v>
          </cell>
          <cell r="W52" t="str">
            <v>콜롬비아</v>
          </cell>
          <cell r="X52" t="str">
            <v>Kolumbija</v>
          </cell>
          <cell r="Y52" t="str">
            <v>Колумбија</v>
          </cell>
          <cell r="Z52" t="str">
            <v>Kolombja</v>
          </cell>
          <cell r="AA52" t="str">
            <v>Colombia</v>
          </cell>
          <cell r="AB52" t="str">
            <v>کلمبیا</v>
          </cell>
          <cell r="AC52" t="str">
            <v>Kolumbia</v>
          </cell>
          <cell r="AD52" t="str">
            <v>Colômbia</v>
          </cell>
          <cell r="AE52" t="str">
            <v>Columbia</v>
          </cell>
          <cell r="AF52" t="str">
            <v>Колумбия</v>
          </cell>
          <cell r="AG52" t="str">
            <v>Колумбија</v>
          </cell>
          <cell r="AH52" t="str">
            <v>Kolumbia</v>
          </cell>
          <cell r="AI52" t="str">
            <v>Kolumbija</v>
          </cell>
          <cell r="AJ52" t="str">
            <v>Colombia</v>
          </cell>
          <cell r="AK52" t="str">
            <v>Colombia</v>
          </cell>
          <cell r="AL52" t="str">
            <v>ประเทศโคลอมเบีย</v>
          </cell>
          <cell r="AM52" t="str">
            <v>Kolombiya</v>
          </cell>
          <cell r="AN52" t="str">
            <v>Colombia</v>
          </cell>
          <cell r="AO52" t="str">
            <v>Колумбія</v>
          </cell>
          <cell r="AP52" t="str">
            <v>کولمبیا</v>
          </cell>
          <cell r="AQ52" t="str">
            <v>Колумбия</v>
          </cell>
        </row>
        <row r="53">
          <cell r="A53" t="str">
            <v>Denmark</v>
          </cell>
          <cell r="B53" t="str">
            <v>Danimarkë</v>
          </cell>
          <cell r="C53" t="str">
            <v>الدنمارك</v>
          </cell>
          <cell r="D53" t="str">
            <v>Դանիա</v>
          </cell>
          <cell r="E53" t="str">
            <v>Danimarka</v>
          </cell>
          <cell r="F53" t="str">
            <v>Дания</v>
          </cell>
          <cell r="G53" t="str">
            <v>Dinamarca</v>
          </cell>
          <cell r="H53" t="str">
            <v>丹麦</v>
          </cell>
          <cell r="I53" t="str">
            <v>丹麥</v>
          </cell>
          <cell r="J53" t="str">
            <v>Danska</v>
          </cell>
          <cell r="K53" t="str">
            <v>Dánsko</v>
          </cell>
          <cell r="L53" t="str">
            <v>Danmark</v>
          </cell>
          <cell r="M53" t="str">
            <v>Denemarken</v>
          </cell>
          <cell r="N53" t="str">
            <v>Danemark</v>
          </cell>
          <cell r="O53" t="str">
            <v>დანია</v>
          </cell>
          <cell r="P53" t="str">
            <v>Dänemark</v>
          </cell>
          <cell r="Q53" t="str">
            <v>Δανία</v>
          </cell>
          <cell r="R53" t="str">
            <v>דנמרק</v>
          </cell>
          <cell r="S53" t="str">
            <v>Dánia</v>
          </cell>
          <cell r="T53" t="str">
            <v>Denmark</v>
          </cell>
          <cell r="U53" t="str">
            <v>Denmark</v>
          </cell>
          <cell r="V53" t="str">
            <v>Danimarca</v>
          </cell>
          <cell r="W53" t="str">
            <v>덴마크</v>
          </cell>
          <cell r="X53" t="str">
            <v>Danija</v>
          </cell>
          <cell r="Y53" t="str">
            <v>Данска</v>
          </cell>
          <cell r="Z53" t="str">
            <v>Danimarka</v>
          </cell>
          <cell r="AA53" t="str">
            <v>Danmark</v>
          </cell>
          <cell r="AB53" t="str">
            <v>دانمارک</v>
          </cell>
          <cell r="AC53" t="str">
            <v>Dania</v>
          </cell>
          <cell r="AD53" t="str">
            <v>Dinamarca</v>
          </cell>
          <cell r="AE53" t="str">
            <v>Danemarca</v>
          </cell>
          <cell r="AF53" t="str">
            <v>Дания</v>
          </cell>
          <cell r="AG53" t="str">
            <v>Данска</v>
          </cell>
          <cell r="AH53" t="str">
            <v>Dánsko</v>
          </cell>
          <cell r="AI53" t="str">
            <v>Danska</v>
          </cell>
          <cell r="AJ53" t="str">
            <v>Dinamarca</v>
          </cell>
          <cell r="AK53" t="str">
            <v>Danmark</v>
          </cell>
          <cell r="AL53" t="str">
            <v>เดนมาร์ก</v>
          </cell>
          <cell r="AM53" t="str">
            <v>Danimarka</v>
          </cell>
          <cell r="AN53" t="str">
            <v>Đan mạch</v>
          </cell>
          <cell r="AO53" t="str">
            <v>Данія</v>
          </cell>
          <cell r="AP53" t="str">
            <v>ڈنمارک</v>
          </cell>
          <cell r="AQ53" t="str">
            <v>Дания</v>
          </cell>
        </row>
        <row r="54">
          <cell r="A54" t="str">
            <v>Sweden</v>
          </cell>
          <cell r="B54" t="str">
            <v>Suedi</v>
          </cell>
          <cell r="C54" t="str">
            <v>السويد</v>
          </cell>
          <cell r="D54" t="str">
            <v>Շվեդիա</v>
          </cell>
          <cell r="E54" t="str">
            <v>İsveç</v>
          </cell>
          <cell r="F54" t="str">
            <v>Швеция</v>
          </cell>
          <cell r="G54" t="str">
            <v>Suècia</v>
          </cell>
          <cell r="H54" t="str">
            <v>瑞典</v>
          </cell>
          <cell r="I54" t="str">
            <v>瑞典</v>
          </cell>
          <cell r="J54" t="str">
            <v>Švedska</v>
          </cell>
          <cell r="K54" t="str">
            <v>Švédsko</v>
          </cell>
          <cell r="L54" t="str">
            <v>Sverige</v>
          </cell>
          <cell r="M54" t="str">
            <v>Zweden</v>
          </cell>
          <cell r="N54" t="str">
            <v>Suède</v>
          </cell>
          <cell r="O54" t="str">
            <v>შვედეთი</v>
          </cell>
          <cell r="P54" t="str">
            <v>Schweden</v>
          </cell>
          <cell r="Q54" t="str">
            <v>Σουηδία</v>
          </cell>
          <cell r="R54" t="str">
            <v>שוודיה</v>
          </cell>
          <cell r="S54" t="str">
            <v>Svédország</v>
          </cell>
          <cell r="T54" t="str">
            <v>Swedia</v>
          </cell>
          <cell r="U54" t="str">
            <v>Svíþjóð</v>
          </cell>
          <cell r="V54" t="str">
            <v>Svezia</v>
          </cell>
          <cell r="W54" t="str">
            <v>스웨덴</v>
          </cell>
          <cell r="X54" t="str">
            <v>Švedija</v>
          </cell>
          <cell r="Y54" t="str">
            <v>Шведска</v>
          </cell>
          <cell r="Z54" t="str">
            <v>Isvezja</v>
          </cell>
          <cell r="AA54" t="str">
            <v>Sverige</v>
          </cell>
          <cell r="AB54" t="str">
            <v>سوئد</v>
          </cell>
          <cell r="AC54" t="str">
            <v>Szwecja</v>
          </cell>
          <cell r="AD54" t="str">
            <v>Suécia</v>
          </cell>
          <cell r="AE54" t="str">
            <v>Suedia</v>
          </cell>
          <cell r="AF54" t="str">
            <v>Швеция</v>
          </cell>
          <cell r="AG54" t="str">
            <v>Шведска</v>
          </cell>
          <cell r="AH54" t="str">
            <v>Švédsko</v>
          </cell>
          <cell r="AI54" t="str">
            <v>Švedska</v>
          </cell>
          <cell r="AJ54" t="str">
            <v>Suecia</v>
          </cell>
          <cell r="AK54" t="str">
            <v>Sverige</v>
          </cell>
          <cell r="AL54" t="str">
            <v>สวีเดน</v>
          </cell>
          <cell r="AM54" t="str">
            <v>İsveç</v>
          </cell>
          <cell r="AN54" t="str">
            <v>Thụy Điển</v>
          </cell>
          <cell r="AO54" t="str">
            <v>Швеція</v>
          </cell>
          <cell r="AP54" t="str">
            <v>سویڈن</v>
          </cell>
          <cell r="AQ54" t="str">
            <v>Швеция</v>
          </cell>
        </row>
        <row r="55">
          <cell r="A55" t="str">
            <v>Costa Rica</v>
          </cell>
          <cell r="B55" t="str">
            <v>Kostarikë</v>
          </cell>
          <cell r="C55" t="str">
            <v>كوستاريكا</v>
          </cell>
          <cell r="D55" t="str">
            <v>Կոստա - Ռիկա</v>
          </cell>
          <cell r="E55" t="str">
            <v>Costa Rica</v>
          </cell>
          <cell r="F55" t="str">
            <v>Costa Rica</v>
          </cell>
          <cell r="G55" t="str">
            <v>Costa Rica</v>
          </cell>
          <cell r="H55" t="str">
            <v>哥斯达黎加</v>
          </cell>
          <cell r="I55" t="str">
            <v>哥斯達黎加</v>
          </cell>
          <cell r="J55" t="str">
            <v>Kostarika</v>
          </cell>
          <cell r="K55" t="str">
            <v>Kostarika</v>
          </cell>
          <cell r="L55" t="str">
            <v>Costa Rica</v>
          </cell>
          <cell r="M55" t="str">
            <v>Costa Rica</v>
          </cell>
          <cell r="N55" t="str">
            <v>Costa Rica</v>
          </cell>
          <cell r="O55" t="str">
            <v>კოსტა რიკის</v>
          </cell>
          <cell r="P55" t="str">
            <v>Costa Rica</v>
          </cell>
          <cell r="Q55" t="str">
            <v>Κόστα Ρίκα</v>
          </cell>
          <cell r="R55" t="str">
            <v>קוסטה ריקה</v>
          </cell>
          <cell r="S55" t="str">
            <v>Costa Rica</v>
          </cell>
          <cell r="T55" t="str">
            <v>Kosta Rika</v>
          </cell>
          <cell r="U55" t="str">
            <v>Costa Rica</v>
          </cell>
          <cell r="V55" t="str">
            <v>Costarica</v>
          </cell>
          <cell r="W55" t="str">
            <v>코스타리카</v>
          </cell>
          <cell r="X55" t="str">
            <v>Kosta Rika</v>
          </cell>
          <cell r="Y55" t="str">
            <v>Коста Рика</v>
          </cell>
          <cell r="Z55" t="str">
            <v>Costa Rica</v>
          </cell>
          <cell r="AA55" t="str">
            <v>Costa Rica</v>
          </cell>
          <cell r="AB55" t="str">
            <v>کاستاریکا</v>
          </cell>
          <cell r="AC55" t="str">
            <v>Kostaryka</v>
          </cell>
          <cell r="AD55" t="str">
            <v>Costa Rica</v>
          </cell>
          <cell r="AE55" t="str">
            <v>Costa Rica</v>
          </cell>
          <cell r="AF55" t="str">
            <v>Коста-Рика</v>
          </cell>
          <cell r="AG55" t="str">
            <v>Костарика</v>
          </cell>
          <cell r="AH55" t="str">
            <v>Kostarika</v>
          </cell>
          <cell r="AI55" t="str">
            <v>Costa Rica</v>
          </cell>
          <cell r="AJ55" t="str">
            <v>Costa Rica</v>
          </cell>
          <cell r="AK55" t="str">
            <v>COSTA RICA</v>
          </cell>
          <cell r="AL55" t="str">
            <v>คอสตาริกา</v>
          </cell>
          <cell r="AM55" t="str">
            <v>Kostarika</v>
          </cell>
          <cell r="AN55" t="str">
            <v>Costa Rica</v>
          </cell>
          <cell r="AO55" t="str">
            <v>Коста -Ріка</v>
          </cell>
          <cell r="AP55" t="str">
            <v>کوسٹا ریکا</v>
          </cell>
          <cell r="AQ55" t="str">
            <v>Коста Рика</v>
          </cell>
        </row>
        <row r="56">
          <cell r="A56" t="str">
            <v>Japan</v>
          </cell>
          <cell r="B56" t="str">
            <v>Japonia</v>
          </cell>
          <cell r="C56" t="str">
            <v>اليابان</v>
          </cell>
          <cell r="D56" t="str">
            <v>Ճապոնիա</v>
          </cell>
          <cell r="E56" t="str">
            <v>Yaponiya</v>
          </cell>
          <cell r="F56" t="str">
            <v>Япония</v>
          </cell>
          <cell r="G56" t="str">
            <v>Japó</v>
          </cell>
          <cell r="H56" t="str">
            <v>日本</v>
          </cell>
          <cell r="I56" t="str">
            <v>日本</v>
          </cell>
          <cell r="J56" t="str">
            <v>Japan</v>
          </cell>
          <cell r="K56" t="str">
            <v>Japonsko</v>
          </cell>
          <cell r="L56" t="str">
            <v>Japan</v>
          </cell>
          <cell r="M56" t="str">
            <v>Japan</v>
          </cell>
          <cell r="N56" t="str">
            <v>Japon</v>
          </cell>
          <cell r="O56" t="str">
            <v>იაპონია</v>
          </cell>
          <cell r="P56" t="str">
            <v>Japan</v>
          </cell>
          <cell r="Q56" t="str">
            <v>Ιαπωνία</v>
          </cell>
          <cell r="R56" t="str">
            <v>יפן</v>
          </cell>
          <cell r="S56" t="str">
            <v>Japán</v>
          </cell>
          <cell r="T56" t="str">
            <v>Jepang</v>
          </cell>
          <cell r="U56" t="str">
            <v>Japan</v>
          </cell>
          <cell r="V56" t="str">
            <v>Giappone</v>
          </cell>
          <cell r="W56" t="str">
            <v>일본</v>
          </cell>
          <cell r="X56" t="str">
            <v>Japonija</v>
          </cell>
          <cell r="Y56" t="str">
            <v>Јапонија</v>
          </cell>
          <cell r="Z56" t="str">
            <v>Ġappun</v>
          </cell>
          <cell r="AA56" t="str">
            <v>Japan</v>
          </cell>
          <cell r="AB56" t="str">
            <v>ژاپن</v>
          </cell>
          <cell r="AC56" t="str">
            <v>Japonia</v>
          </cell>
          <cell r="AD56" t="str">
            <v>Japão</v>
          </cell>
          <cell r="AE56" t="str">
            <v>Japonia</v>
          </cell>
          <cell r="AF56" t="str">
            <v>Япония</v>
          </cell>
          <cell r="AG56" t="str">
            <v>Japan</v>
          </cell>
          <cell r="AH56" t="str">
            <v>Japonsko</v>
          </cell>
          <cell r="AI56" t="str">
            <v>Japonska</v>
          </cell>
          <cell r="AJ56" t="str">
            <v>Japón</v>
          </cell>
          <cell r="AK56" t="str">
            <v>Japan</v>
          </cell>
          <cell r="AL56" t="str">
            <v>ญี่ปุ่น</v>
          </cell>
          <cell r="AM56" t="str">
            <v>Japonya</v>
          </cell>
          <cell r="AN56" t="str">
            <v>Nhật Bản</v>
          </cell>
          <cell r="AO56" t="str">
            <v>Японія</v>
          </cell>
          <cell r="AP56" t="str">
            <v>جاپان</v>
          </cell>
          <cell r="AQ56" t="str">
            <v>Япония</v>
          </cell>
        </row>
        <row r="57">
          <cell r="A57" t="str">
            <v>Iceland</v>
          </cell>
          <cell r="B57" t="str">
            <v>Islandë</v>
          </cell>
          <cell r="C57" t="str">
            <v>أيسلندا</v>
          </cell>
          <cell r="D57" t="str">
            <v>Իսլանդիա</v>
          </cell>
          <cell r="E57" t="str">
            <v>İslandiya</v>
          </cell>
          <cell r="F57" t="str">
            <v>Исландия</v>
          </cell>
          <cell r="G57" t="str">
            <v>Islàndia</v>
          </cell>
          <cell r="H57" t="str">
            <v>冰岛</v>
          </cell>
          <cell r="I57" t="str">
            <v>冰島</v>
          </cell>
          <cell r="J57" t="str">
            <v>Island</v>
          </cell>
          <cell r="K57" t="str">
            <v>Island</v>
          </cell>
          <cell r="L57" t="str">
            <v>Island</v>
          </cell>
          <cell r="M57" t="str">
            <v>IJsland</v>
          </cell>
          <cell r="N57" t="str">
            <v>Islande</v>
          </cell>
          <cell r="O57" t="str">
            <v>ისლანდია</v>
          </cell>
          <cell r="P57" t="str">
            <v>Island</v>
          </cell>
          <cell r="Q57" t="str">
            <v>Ισλανδία</v>
          </cell>
          <cell r="R57" t="str">
            <v>אִיסלַנד</v>
          </cell>
          <cell r="S57" t="str">
            <v>Izland</v>
          </cell>
          <cell r="T57" t="str">
            <v>Islandia</v>
          </cell>
          <cell r="U57" t="str">
            <v>iceland</v>
          </cell>
          <cell r="V57" t="str">
            <v>Islanda</v>
          </cell>
          <cell r="W57" t="str">
            <v>아이슬란드</v>
          </cell>
          <cell r="X57" t="str">
            <v>Islandija</v>
          </cell>
          <cell r="Y57" t="str">
            <v>Исланд</v>
          </cell>
          <cell r="Z57" t="str">
            <v>Islanda</v>
          </cell>
          <cell r="AA57" t="str">
            <v>Island</v>
          </cell>
          <cell r="AB57" t="str">
            <v>ایسلند</v>
          </cell>
          <cell r="AC57" t="str">
            <v>Islandia</v>
          </cell>
          <cell r="AD57" t="str">
            <v>Islândia</v>
          </cell>
          <cell r="AE57" t="str">
            <v>Islanda</v>
          </cell>
          <cell r="AF57" t="str">
            <v>Исландия</v>
          </cell>
          <cell r="AG57" t="str">
            <v>Исланд</v>
          </cell>
          <cell r="AH57" t="str">
            <v>Island</v>
          </cell>
          <cell r="AI57" t="str">
            <v>Islandija</v>
          </cell>
          <cell r="AJ57" t="str">
            <v>Islandia</v>
          </cell>
          <cell r="AK57" t="str">
            <v>Island</v>
          </cell>
          <cell r="AL57" t="str">
            <v>ประเทศไอซ์แลนด์</v>
          </cell>
          <cell r="AM57" t="str">
            <v>İzlanda</v>
          </cell>
          <cell r="AN57" t="str">
            <v>Iceland</v>
          </cell>
          <cell r="AO57" t="str">
            <v>Ісландія</v>
          </cell>
          <cell r="AP57" t="str">
            <v>آیس لینڈ</v>
          </cell>
          <cell r="AQ57" t="str">
            <v>Исландия</v>
          </cell>
        </row>
        <row r="58">
          <cell r="A58" t="str">
            <v>Senegal</v>
          </cell>
          <cell r="B58" t="str">
            <v>Senegal</v>
          </cell>
          <cell r="C58" t="str">
            <v>السنغال</v>
          </cell>
          <cell r="D58" t="str">
            <v>Սենեգալ</v>
          </cell>
          <cell r="E58" t="str">
            <v>Seneqal</v>
          </cell>
          <cell r="F58" t="str">
            <v>Сенегал</v>
          </cell>
          <cell r="G58" t="str">
            <v>Senegal</v>
          </cell>
          <cell r="H58" t="str">
            <v>塞内加尔</v>
          </cell>
          <cell r="I58" t="str">
            <v>塞內加爾</v>
          </cell>
          <cell r="J58" t="str">
            <v>Senegal</v>
          </cell>
          <cell r="K58" t="str">
            <v>Senegal</v>
          </cell>
          <cell r="L58" t="str">
            <v>Senegal</v>
          </cell>
          <cell r="M58" t="str">
            <v>Senegal</v>
          </cell>
          <cell r="N58" t="str">
            <v>Sénégal</v>
          </cell>
          <cell r="O58" t="str">
            <v>სენეგალი</v>
          </cell>
          <cell r="P58" t="str">
            <v>Senegal</v>
          </cell>
          <cell r="Q58" t="str">
            <v>Σενεγάλη</v>
          </cell>
          <cell r="R58" t="str">
            <v>סנגל</v>
          </cell>
          <cell r="S58" t="str">
            <v>Szenegál</v>
          </cell>
          <cell r="T58" t="str">
            <v>senegal</v>
          </cell>
          <cell r="U58" t="str">
            <v>Senegal</v>
          </cell>
          <cell r="V58" t="str">
            <v>Senegal</v>
          </cell>
          <cell r="W58" t="str">
            <v>세네갈</v>
          </cell>
          <cell r="X58" t="str">
            <v>Senegalas</v>
          </cell>
          <cell r="Y58" t="str">
            <v>Сенегал</v>
          </cell>
          <cell r="Z58" t="str">
            <v>senegal</v>
          </cell>
          <cell r="AA58" t="str">
            <v>Senegal</v>
          </cell>
          <cell r="AB58" t="str">
            <v>سنگال</v>
          </cell>
          <cell r="AC58" t="str">
            <v>Senegal</v>
          </cell>
          <cell r="AD58" t="str">
            <v>Senegal</v>
          </cell>
          <cell r="AE58" t="str">
            <v>Senegal</v>
          </cell>
          <cell r="AF58" t="str">
            <v>Сенегал</v>
          </cell>
          <cell r="AG58" t="str">
            <v>сенегал</v>
          </cell>
          <cell r="AH58" t="str">
            <v>Senegal</v>
          </cell>
          <cell r="AI58" t="str">
            <v>Senegal</v>
          </cell>
          <cell r="AJ58" t="str">
            <v>Senegal</v>
          </cell>
          <cell r="AK58" t="str">
            <v>Senegal</v>
          </cell>
          <cell r="AL58" t="str">
            <v>ประเทศเซเนกัล</v>
          </cell>
          <cell r="AM58" t="str">
            <v>Senegal</v>
          </cell>
          <cell r="AN58" t="str">
            <v>Senegal</v>
          </cell>
          <cell r="AO58" t="str">
            <v>Сенегал</v>
          </cell>
          <cell r="AP58" t="str">
            <v>سنیگال</v>
          </cell>
          <cell r="AQ58" t="str">
            <v>Сенегал</v>
          </cell>
        </row>
        <row r="59">
          <cell r="A59" t="str">
            <v>Tunisia</v>
          </cell>
          <cell r="B59" t="str">
            <v>Tunizi</v>
          </cell>
          <cell r="C59" t="str">
            <v>تونس</v>
          </cell>
          <cell r="D59" t="str">
            <v>Թունիս</v>
          </cell>
          <cell r="E59" t="str">
            <v>Tunis</v>
          </cell>
          <cell r="F59" t="str">
            <v>Тунис</v>
          </cell>
          <cell r="G59" t="str">
            <v>Tunísia</v>
          </cell>
          <cell r="H59" t="str">
            <v>突尼斯</v>
          </cell>
          <cell r="I59" t="str">
            <v>突尼斯</v>
          </cell>
          <cell r="J59" t="str">
            <v>Tunis</v>
          </cell>
          <cell r="K59" t="str">
            <v>Tunisko</v>
          </cell>
          <cell r="L59" t="str">
            <v>Tunesien</v>
          </cell>
          <cell r="M59" t="str">
            <v>Tunesië</v>
          </cell>
          <cell r="N59" t="str">
            <v>Tunisie</v>
          </cell>
          <cell r="O59" t="str">
            <v>ტუნისში</v>
          </cell>
          <cell r="P59" t="str">
            <v>Tunesien</v>
          </cell>
          <cell r="Q59" t="str">
            <v>Τυνησία</v>
          </cell>
          <cell r="R59" t="str">
            <v>תוניסיה</v>
          </cell>
          <cell r="S59" t="str">
            <v>Tunézia</v>
          </cell>
          <cell r="T59" t="str">
            <v>Tunisia</v>
          </cell>
          <cell r="U59" t="str">
            <v>Túnis</v>
          </cell>
          <cell r="V59" t="str">
            <v>Tunisia</v>
          </cell>
          <cell r="W59" t="str">
            <v>튀니지</v>
          </cell>
          <cell r="X59" t="str">
            <v>Tunisas</v>
          </cell>
          <cell r="Y59" t="str">
            <v>Тунис</v>
          </cell>
          <cell r="Z59" t="str">
            <v>Tuneżija</v>
          </cell>
          <cell r="AA59" t="str">
            <v>Tunisia</v>
          </cell>
          <cell r="AB59" t="str">
            <v>تونس</v>
          </cell>
          <cell r="AC59" t="str">
            <v>Tunezja</v>
          </cell>
          <cell r="AD59" t="str">
            <v>Tunísia</v>
          </cell>
          <cell r="AE59" t="str">
            <v>Tunisia</v>
          </cell>
          <cell r="AF59" t="str">
            <v>Тунис</v>
          </cell>
          <cell r="AG59" t="str">
            <v>Тунис</v>
          </cell>
          <cell r="AH59" t="str">
            <v>Tunisko</v>
          </cell>
          <cell r="AI59" t="str">
            <v>Tunizija</v>
          </cell>
          <cell r="AJ59" t="str">
            <v>Túnez</v>
          </cell>
          <cell r="AK59" t="str">
            <v>Tunisien</v>
          </cell>
          <cell r="AL59" t="str">
            <v>ตูนิเซีย</v>
          </cell>
          <cell r="AM59" t="str">
            <v>Tunus</v>
          </cell>
          <cell r="AN59" t="str">
            <v>Tunisia</v>
          </cell>
          <cell r="AO59" t="str">
            <v>Туніс</v>
          </cell>
          <cell r="AP59" t="str">
            <v>تیونس</v>
          </cell>
          <cell r="AQ59" t="str">
            <v>Тунис</v>
          </cell>
        </row>
        <row r="60">
          <cell r="A60" t="str">
            <v>Egypt</v>
          </cell>
          <cell r="B60" t="str">
            <v>Egjipt</v>
          </cell>
          <cell r="C60" t="str">
            <v>مصر</v>
          </cell>
          <cell r="D60" t="str">
            <v>Եգիպտոս</v>
          </cell>
          <cell r="E60" t="str">
            <v>Misir</v>
          </cell>
          <cell r="F60" t="str">
            <v>Египет</v>
          </cell>
          <cell r="G60" t="str">
            <v>Egipte</v>
          </cell>
          <cell r="H60" t="str">
            <v>埃及</v>
          </cell>
          <cell r="I60" t="str">
            <v>埃及</v>
          </cell>
          <cell r="J60" t="str">
            <v>Egipat</v>
          </cell>
          <cell r="K60" t="str">
            <v>Egypt</v>
          </cell>
          <cell r="L60" t="str">
            <v>Egypten</v>
          </cell>
          <cell r="M60" t="str">
            <v>Egypte</v>
          </cell>
          <cell r="N60" t="str">
            <v>Egypte</v>
          </cell>
          <cell r="O60" t="str">
            <v>ეგვიპტეში</v>
          </cell>
          <cell r="P60" t="str">
            <v>Ägypten</v>
          </cell>
          <cell r="Q60" t="str">
            <v>Αίγυπτος</v>
          </cell>
          <cell r="R60" t="str">
            <v>מִצְרַיִם</v>
          </cell>
          <cell r="S60" t="str">
            <v>Egyiptom</v>
          </cell>
          <cell r="T60" t="str">
            <v>Mesir</v>
          </cell>
          <cell r="U60" t="str">
            <v>Egyptaland</v>
          </cell>
          <cell r="V60" t="str">
            <v>Egitto</v>
          </cell>
          <cell r="W60" t="str">
            <v>이집트</v>
          </cell>
          <cell r="X60" t="str">
            <v>Egiptas</v>
          </cell>
          <cell r="Y60" t="str">
            <v>Египет</v>
          </cell>
          <cell r="Z60" t="str">
            <v>Eġittu</v>
          </cell>
          <cell r="AA60" t="str">
            <v>Egypt</v>
          </cell>
          <cell r="AB60" t="str">
            <v>مصر</v>
          </cell>
          <cell r="AC60" t="str">
            <v>Egipt</v>
          </cell>
          <cell r="AD60" t="str">
            <v>Egito</v>
          </cell>
          <cell r="AE60" t="str">
            <v>Egipt</v>
          </cell>
          <cell r="AF60" t="str">
            <v>Египет</v>
          </cell>
          <cell r="AG60" t="str">
            <v>Египат</v>
          </cell>
          <cell r="AH60" t="str">
            <v>Egypt</v>
          </cell>
          <cell r="AI60" t="str">
            <v>Egipt</v>
          </cell>
          <cell r="AJ60" t="str">
            <v>Egipto</v>
          </cell>
          <cell r="AK60" t="str">
            <v>Egypten</v>
          </cell>
          <cell r="AL60" t="str">
            <v>อียิปต์</v>
          </cell>
          <cell r="AM60" t="str">
            <v>Mısır</v>
          </cell>
          <cell r="AN60" t="str">
            <v>Ai Cập</v>
          </cell>
          <cell r="AO60" t="str">
            <v>Єгипет</v>
          </cell>
          <cell r="AP60" t="str">
            <v>مصر</v>
          </cell>
          <cell r="AQ60" t="str">
            <v>Египет</v>
          </cell>
        </row>
        <row r="61">
          <cell r="A61" t="str">
            <v>Iran</v>
          </cell>
          <cell r="B61" t="str">
            <v>Iran</v>
          </cell>
          <cell r="C61" t="str">
            <v>ايران</v>
          </cell>
          <cell r="D61" t="str">
            <v>Իրան</v>
          </cell>
          <cell r="E61" t="str">
            <v>İran</v>
          </cell>
          <cell r="F61" t="str">
            <v>Иран</v>
          </cell>
          <cell r="G61" t="str">
            <v>Iran</v>
          </cell>
          <cell r="H61" t="str">
            <v>伊朗</v>
          </cell>
          <cell r="I61" t="str">
            <v>伊朗</v>
          </cell>
          <cell r="J61" t="str">
            <v>Iran</v>
          </cell>
          <cell r="K61" t="str">
            <v>Írán</v>
          </cell>
          <cell r="L61" t="str">
            <v>Iran</v>
          </cell>
          <cell r="M61" t="str">
            <v>Iran</v>
          </cell>
          <cell r="N61" t="str">
            <v>Iran</v>
          </cell>
          <cell r="O61" t="str">
            <v>ირანის</v>
          </cell>
          <cell r="P61" t="str">
            <v>Iran</v>
          </cell>
          <cell r="Q61" t="str">
            <v>Ιράν</v>
          </cell>
          <cell r="R61" t="str">
            <v>אירן</v>
          </cell>
          <cell r="S61" t="str">
            <v>Irán</v>
          </cell>
          <cell r="T61" t="str">
            <v>Iran</v>
          </cell>
          <cell r="U61" t="str">
            <v>Íran</v>
          </cell>
          <cell r="V61" t="str">
            <v>Iran</v>
          </cell>
          <cell r="W61" t="str">
            <v>이란</v>
          </cell>
          <cell r="X61" t="str">
            <v>Iranas</v>
          </cell>
          <cell r="Y61" t="str">
            <v>Иран</v>
          </cell>
          <cell r="Z61" t="str">
            <v>Iran</v>
          </cell>
          <cell r="AA61" t="str">
            <v>Iran</v>
          </cell>
          <cell r="AB61" t="str">
            <v>ایران</v>
          </cell>
          <cell r="AC61" t="str">
            <v>Iran</v>
          </cell>
          <cell r="AD61" t="str">
            <v>Irã</v>
          </cell>
          <cell r="AE61" t="str">
            <v>Iran</v>
          </cell>
          <cell r="AF61" t="str">
            <v>Иран</v>
          </cell>
          <cell r="AG61" t="str">
            <v>Иран</v>
          </cell>
          <cell r="AH61" t="str">
            <v>Irán</v>
          </cell>
          <cell r="AI61" t="str">
            <v>Iran</v>
          </cell>
          <cell r="AJ61" t="str">
            <v>Irán</v>
          </cell>
          <cell r="AK61" t="str">
            <v>Iran</v>
          </cell>
          <cell r="AL61" t="str">
            <v>อิหร่าน</v>
          </cell>
          <cell r="AM61" t="str">
            <v>İran</v>
          </cell>
          <cell r="AN61" t="str">
            <v>Iran</v>
          </cell>
          <cell r="AO61" t="str">
            <v>Іран</v>
          </cell>
          <cell r="AP61" t="str">
            <v>ایران</v>
          </cell>
          <cell r="AQ61" t="str">
            <v>Эрон</v>
          </cell>
        </row>
        <row r="62">
          <cell r="A62" t="str">
            <v>Brazil</v>
          </cell>
          <cell r="B62" t="str">
            <v>Brazili</v>
          </cell>
          <cell r="C62" t="str">
            <v>البرازيل</v>
          </cell>
          <cell r="D62" t="str">
            <v>Բրազիլիա</v>
          </cell>
          <cell r="E62" t="str">
            <v>Braziliya</v>
          </cell>
          <cell r="F62" t="str">
            <v>Бразилия</v>
          </cell>
          <cell r="G62" t="str">
            <v>Brasil</v>
          </cell>
          <cell r="H62" t="str">
            <v>巴西</v>
          </cell>
          <cell r="I62" t="str">
            <v>巴西</v>
          </cell>
          <cell r="J62" t="str">
            <v>Brazil</v>
          </cell>
          <cell r="K62" t="str">
            <v>Brazílie</v>
          </cell>
          <cell r="L62" t="str">
            <v>Brasilien</v>
          </cell>
          <cell r="M62" t="str">
            <v>Brazilië</v>
          </cell>
          <cell r="N62" t="str">
            <v>Brésil</v>
          </cell>
          <cell r="O62" t="str">
            <v>ბრაზილია</v>
          </cell>
          <cell r="P62" t="str">
            <v>Brasilien</v>
          </cell>
          <cell r="Q62" t="str">
            <v>Βραζιλία</v>
          </cell>
          <cell r="R62" t="str">
            <v>ברזיל</v>
          </cell>
          <cell r="S62" t="str">
            <v>Brazília</v>
          </cell>
          <cell r="T62" t="str">
            <v>Brazil</v>
          </cell>
          <cell r="U62" t="str">
            <v>Brasilía</v>
          </cell>
          <cell r="V62" t="str">
            <v>Brasile</v>
          </cell>
          <cell r="W62" t="str">
            <v>브라질</v>
          </cell>
          <cell r="X62" t="str">
            <v>Brazilija</v>
          </cell>
          <cell r="Y62" t="str">
            <v>Бразил</v>
          </cell>
          <cell r="Z62" t="str">
            <v>Brażil</v>
          </cell>
          <cell r="AA62" t="str">
            <v>Brasil</v>
          </cell>
          <cell r="AB62" t="str">
            <v>برزیل</v>
          </cell>
          <cell r="AC62" t="str">
            <v>Brazylia</v>
          </cell>
          <cell r="AD62" t="str">
            <v>Brasil</v>
          </cell>
          <cell r="AE62" t="str">
            <v>Brazilia</v>
          </cell>
          <cell r="AF62" t="str">
            <v>Бразилия</v>
          </cell>
          <cell r="AG62" t="str">
            <v>Brazil</v>
          </cell>
          <cell r="AH62" t="str">
            <v>Brazília</v>
          </cell>
          <cell r="AI62" t="str">
            <v>Brazilija</v>
          </cell>
          <cell r="AJ62" t="str">
            <v>Brasil</v>
          </cell>
          <cell r="AK62" t="str">
            <v>Brasilien</v>
          </cell>
          <cell r="AL62" t="str">
            <v>บราซิล</v>
          </cell>
          <cell r="AM62" t="str">
            <v>Brezilya</v>
          </cell>
          <cell r="AN62" t="str">
            <v>B-ra-xin</v>
          </cell>
          <cell r="AO62" t="str">
            <v>Бразилія</v>
          </cell>
          <cell r="AP62" t="str">
            <v>برازیل</v>
          </cell>
          <cell r="AQ62" t="str">
            <v>Бразилия</v>
          </cell>
        </row>
        <row r="63">
          <cell r="A63" t="str">
            <v>Belgium</v>
          </cell>
          <cell r="B63" t="str">
            <v>Belgjikë</v>
          </cell>
          <cell r="C63" t="str">
            <v>بلجيكا</v>
          </cell>
          <cell r="D63" t="str">
            <v>Բելգիա</v>
          </cell>
          <cell r="E63" t="str">
            <v>Belçika</v>
          </cell>
          <cell r="F63" t="str">
            <v>Белгия</v>
          </cell>
          <cell r="G63" t="str">
            <v>Bèlgica</v>
          </cell>
          <cell r="H63" t="str">
            <v>比利时</v>
          </cell>
          <cell r="I63" t="str">
            <v>比利時</v>
          </cell>
          <cell r="J63" t="str">
            <v>Belgija</v>
          </cell>
          <cell r="K63" t="str">
            <v>Belgie</v>
          </cell>
          <cell r="L63" t="str">
            <v>Belgien</v>
          </cell>
          <cell r="M63" t="str">
            <v>België</v>
          </cell>
          <cell r="N63" t="str">
            <v>Belgique</v>
          </cell>
          <cell r="O63" t="str">
            <v>ბელგიის</v>
          </cell>
          <cell r="P63" t="str">
            <v>Belgien</v>
          </cell>
          <cell r="Q63" t="str">
            <v>Βέλγιο</v>
          </cell>
          <cell r="R63" t="str">
            <v>בלגיה</v>
          </cell>
          <cell r="S63" t="str">
            <v>Belgium</v>
          </cell>
          <cell r="T63" t="str">
            <v>Belgia</v>
          </cell>
          <cell r="U63" t="str">
            <v>Belgium</v>
          </cell>
          <cell r="V63" t="str">
            <v>Belgio</v>
          </cell>
          <cell r="W63" t="str">
            <v>벨기에</v>
          </cell>
          <cell r="X63" t="str">
            <v>Belgija</v>
          </cell>
          <cell r="Y63" t="str">
            <v>белгија</v>
          </cell>
          <cell r="Z63" t="str">
            <v>Belġju</v>
          </cell>
          <cell r="AA63" t="str">
            <v>Belgia</v>
          </cell>
          <cell r="AB63" t="str">
            <v>بلژیک</v>
          </cell>
          <cell r="AC63" t="str">
            <v>Belgia</v>
          </cell>
          <cell r="AD63" t="str">
            <v>Bélgica</v>
          </cell>
          <cell r="AE63" t="str">
            <v>Belgia</v>
          </cell>
          <cell r="AF63" t="str">
            <v>Бельгия</v>
          </cell>
          <cell r="AG63" t="str">
            <v>Белгија</v>
          </cell>
          <cell r="AH63" t="str">
            <v>belgicko</v>
          </cell>
          <cell r="AI63" t="str">
            <v>Belgija</v>
          </cell>
          <cell r="AJ63" t="str">
            <v>Bélgica</v>
          </cell>
          <cell r="AK63" t="str">
            <v>Belgien</v>
          </cell>
          <cell r="AL63" t="str">
            <v>เบลเยี่ยม</v>
          </cell>
          <cell r="AM63" t="str">
            <v>Belçika</v>
          </cell>
          <cell r="AN63" t="str">
            <v>Bỉ</v>
          </cell>
          <cell r="AO63" t="str">
            <v>Бельгія</v>
          </cell>
          <cell r="AP63" t="str">
            <v>بیلجئیم</v>
          </cell>
          <cell r="AQ63" t="str">
            <v>Бельгия</v>
          </cell>
        </row>
        <row r="64">
          <cell r="A64" t="str">
            <v>Morocco</v>
          </cell>
          <cell r="B64" t="str">
            <v>Marok</v>
          </cell>
          <cell r="C64" t="str">
            <v>المغرب</v>
          </cell>
          <cell r="D64" t="str">
            <v>սեկ</v>
          </cell>
          <cell r="E64" t="str">
            <v>Mərakeş</v>
          </cell>
          <cell r="F64" t="str">
            <v>Мароко</v>
          </cell>
          <cell r="G64" t="str">
            <v>Marroc</v>
          </cell>
          <cell r="H64" t="str">
            <v>摩洛哥</v>
          </cell>
          <cell r="I64" t="str">
            <v>摩洛哥</v>
          </cell>
          <cell r="J64" t="str">
            <v>Maroko</v>
          </cell>
          <cell r="K64" t="str">
            <v>Maroko</v>
          </cell>
          <cell r="L64" t="str">
            <v>Marokko</v>
          </cell>
          <cell r="M64" t="str">
            <v>Marokko</v>
          </cell>
          <cell r="N64" t="str">
            <v>Maroc</v>
          </cell>
          <cell r="O64" t="str">
            <v>მაროკო</v>
          </cell>
          <cell r="P64" t="str">
            <v>Marokko</v>
          </cell>
          <cell r="Q64" t="str">
            <v>Μαρόκο</v>
          </cell>
          <cell r="R64" t="str">
            <v>מָרוֹקוֹ</v>
          </cell>
          <cell r="S64" t="str">
            <v>Marokkó</v>
          </cell>
          <cell r="T64" t="str">
            <v>Maroko</v>
          </cell>
          <cell r="U64" t="str">
            <v>Marokkó</v>
          </cell>
          <cell r="V64" t="str">
            <v>Marocco</v>
          </cell>
          <cell r="W64" t="str">
            <v>모로코</v>
          </cell>
          <cell r="X64" t="str">
            <v>Marokas</v>
          </cell>
          <cell r="Y64" t="str">
            <v>Мароко</v>
          </cell>
          <cell r="Z64" t="str">
            <v>Marokk</v>
          </cell>
          <cell r="AA64" t="str">
            <v>Marokko</v>
          </cell>
          <cell r="AB64" t="str">
            <v>مراکش</v>
          </cell>
          <cell r="AC64" t="str">
            <v>Maroko</v>
          </cell>
          <cell r="AD64" t="str">
            <v>Marrocos</v>
          </cell>
          <cell r="AE64" t="str">
            <v>Maroc</v>
          </cell>
          <cell r="AF64" t="str">
            <v>Марокко</v>
          </cell>
          <cell r="AG64" t="str">
            <v>Мароко</v>
          </cell>
          <cell r="AH64" t="str">
            <v>Maroko</v>
          </cell>
          <cell r="AI64" t="str">
            <v>Maroko</v>
          </cell>
          <cell r="AJ64" t="str">
            <v>Marruecos</v>
          </cell>
          <cell r="AK64" t="str">
            <v>Marocko</v>
          </cell>
          <cell r="AL64" t="str">
            <v>โมร็อกโก</v>
          </cell>
          <cell r="AM64" t="str">
            <v>Fas</v>
          </cell>
          <cell r="AN64" t="str">
            <v>Morocco</v>
          </cell>
          <cell r="AO64" t="str">
            <v>Марокко</v>
          </cell>
          <cell r="AP64" t="str">
            <v>مراکش</v>
          </cell>
          <cell r="AQ64" t="str">
            <v>Марокко</v>
          </cell>
        </row>
        <row r="65">
          <cell r="A65" t="str">
            <v>Portugal</v>
          </cell>
          <cell r="B65" t="str">
            <v>Portugali</v>
          </cell>
          <cell r="C65" t="str">
            <v>البرتغال</v>
          </cell>
          <cell r="D65" t="str">
            <v>Պորտուգալիա</v>
          </cell>
          <cell r="E65" t="str">
            <v>Portuqaliya</v>
          </cell>
          <cell r="F65" t="str">
            <v>Португалия</v>
          </cell>
          <cell r="G65" t="str">
            <v>Portugal</v>
          </cell>
          <cell r="H65" t="str">
            <v>葡萄牙</v>
          </cell>
          <cell r="I65" t="str">
            <v>葡萄牙</v>
          </cell>
          <cell r="J65" t="str">
            <v>Portugalija</v>
          </cell>
          <cell r="K65" t="str">
            <v>Portugalsko</v>
          </cell>
          <cell r="L65" t="str">
            <v>Portugal</v>
          </cell>
          <cell r="M65" t="str">
            <v>Portugal</v>
          </cell>
          <cell r="N65" t="str">
            <v>Portugal</v>
          </cell>
          <cell r="O65" t="str">
            <v>პორტუგალიის</v>
          </cell>
          <cell r="P65" t="str">
            <v>Portugal</v>
          </cell>
          <cell r="Q65" t="str">
            <v>Πορτογαλία</v>
          </cell>
          <cell r="R65" t="str">
            <v>פורטוגל</v>
          </cell>
          <cell r="S65" t="str">
            <v>Portugália</v>
          </cell>
          <cell r="T65" t="str">
            <v>Portugal</v>
          </cell>
          <cell r="U65" t="str">
            <v>Portugal</v>
          </cell>
          <cell r="V65" t="str">
            <v>Portogallo</v>
          </cell>
          <cell r="W65" t="str">
            <v>포르투갈</v>
          </cell>
          <cell r="X65" t="str">
            <v>Portugalija</v>
          </cell>
          <cell r="Y65" t="str">
            <v>Португалија</v>
          </cell>
          <cell r="Z65" t="str">
            <v>Portugall</v>
          </cell>
          <cell r="AA65" t="str">
            <v>Portugal</v>
          </cell>
          <cell r="AB65" t="str">
            <v>پرتغال</v>
          </cell>
          <cell r="AC65" t="str">
            <v>Portugalia</v>
          </cell>
          <cell r="AD65" t="str">
            <v>Portugal</v>
          </cell>
          <cell r="AE65" t="str">
            <v>Portugalia</v>
          </cell>
          <cell r="AF65" t="str">
            <v>Португалия</v>
          </cell>
          <cell r="AG65" t="str">
            <v>Португалија</v>
          </cell>
          <cell r="AH65" t="str">
            <v>Portugalsko</v>
          </cell>
          <cell r="AI65" t="str">
            <v>Portugalska</v>
          </cell>
          <cell r="AJ65" t="str">
            <v>Portugal</v>
          </cell>
          <cell r="AK65" t="str">
            <v>Portugal</v>
          </cell>
          <cell r="AL65" t="str">
            <v>โปรตุเกส</v>
          </cell>
          <cell r="AM65" t="str">
            <v>Portekiz</v>
          </cell>
          <cell r="AN65" t="str">
            <v>Bồ Đào Nha</v>
          </cell>
          <cell r="AO65" t="str">
            <v>Португалія</v>
          </cell>
          <cell r="AP65" t="str">
            <v>پرتگال</v>
          </cell>
          <cell r="AQ65" t="str">
            <v>Португалия</v>
          </cell>
        </row>
        <row r="66">
          <cell r="A66" t="str">
            <v>Spain</v>
          </cell>
          <cell r="B66" t="str">
            <v>Spanjë</v>
          </cell>
          <cell r="C66" t="str">
            <v>إسبانيا</v>
          </cell>
          <cell r="D66" t="str">
            <v>Իսպանիա</v>
          </cell>
          <cell r="E66" t="str">
            <v>İspaniya</v>
          </cell>
          <cell r="F66" t="str">
            <v>Испания</v>
          </cell>
          <cell r="G66" t="str">
            <v>Espanya</v>
          </cell>
          <cell r="H66" t="str">
            <v>西班牙</v>
          </cell>
          <cell r="I66" t="str">
            <v>西班牙</v>
          </cell>
          <cell r="J66" t="str">
            <v>Španjolska</v>
          </cell>
          <cell r="K66" t="str">
            <v>Španělsko</v>
          </cell>
          <cell r="L66" t="str">
            <v>Spanien</v>
          </cell>
          <cell r="M66" t="str">
            <v>Spanje</v>
          </cell>
          <cell r="N66" t="str">
            <v>Espagne</v>
          </cell>
          <cell r="O66" t="str">
            <v>ესპანეთში</v>
          </cell>
          <cell r="P66" t="str">
            <v>Spanien</v>
          </cell>
          <cell r="Q66" t="str">
            <v>Ισπανία</v>
          </cell>
          <cell r="R66" t="str">
            <v>ספרד</v>
          </cell>
          <cell r="S66" t="str">
            <v>Spanyolország</v>
          </cell>
          <cell r="T66" t="str">
            <v>Spanyol</v>
          </cell>
          <cell r="U66" t="str">
            <v>spain</v>
          </cell>
          <cell r="V66" t="str">
            <v>Spagna</v>
          </cell>
          <cell r="W66" t="str">
            <v>스페인</v>
          </cell>
          <cell r="X66" t="str">
            <v>Ispanija</v>
          </cell>
          <cell r="Y66" t="str">
            <v>Шпанија</v>
          </cell>
          <cell r="Z66" t="str">
            <v>Spanja</v>
          </cell>
          <cell r="AA66" t="str">
            <v>Spania</v>
          </cell>
          <cell r="AB66" t="str">
            <v>کشور اسپانیا</v>
          </cell>
          <cell r="AC66" t="str">
            <v>Hiszpania</v>
          </cell>
          <cell r="AD66" t="str">
            <v>Espanha</v>
          </cell>
          <cell r="AE66" t="str">
            <v>Spania</v>
          </cell>
          <cell r="AF66" t="str">
            <v>Испания</v>
          </cell>
          <cell r="AG66" t="str">
            <v>Шпанија</v>
          </cell>
          <cell r="AH66" t="str">
            <v>španielsko</v>
          </cell>
          <cell r="AI66" t="str">
            <v>Španija</v>
          </cell>
          <cell r="AJ66" t="str">
            <v>España</v>
          </cell>
          <cell r="AK66" t="str">
            <v>Spanien</v>
          </cell>
          <cell r="AL66" t="str">
            <v>สเปน</v>
          </cell>
          <cell r="AM66" t="str">
            <v>İspanya</v>
          </cell>
          <cell r="AN66" t="str">
            <v>Tây ban nha</v>
          </cell>
          <cell r="AO66" t="str">
            <v>Іспанія</v>
          </cell>
          <cell r="AP66" t="str">
            <v>سپین</v>
          </cell>
          <cell r="AQ66" t="str">
            <v>Испания</v>
          </cell>
        </row>
        <row r="67">
          <cell r="A67" t="str">
            <v>Switzerland</v>
          </cell>
          <cell r="B67" t="str">
            <v>Zvicër</v>
          </cell>
          <cell r="C67" t="str">
            <v>سويسرا</v>
          </cell>
          <cell r="D67" t="str">
            <v>Շվեյցարիա</v>
          </cell>
          <cell r="E67" t="str">
            <v>İsveçrə</v>
          </cell>
          <cell r="F67" t="str">
            <v>Швейцария</v>
          </cell>
          <cell r="G67" t="str">
            <v>Suïssa</v>
          </cell>
          <cell r="H67" t="str">
            <v>瑞士</v>
          </cell>
          <cell r="I67" t="str">
            <v>瑞士</v>
          </cell>
          <cell r="J67" t="str">
            <v>Švajcarska</v>
          </cell>
          <cell r="K67" t="str">
            <v>Švýcarsko</v>
          </cell>
          <cell r="L67" t="str">
            <v>Schweiz</v>
          </cell>
          <cell r="M67" t="str">
            <v>Zwitserland</v>
          </cell>
          <cell r="N67" t="str">
            <v>Suisse</v>
          </cell>
          <cell r="O67" t="str">
            <v>Switzerland</v>
          </cell>
          <cell r="P67" t="str">
            <v>Schweiz</v>
          </cell>
          <cell r="Q67" t="str">
            <v>Ελβετία</v>
          </cell>
          <cell r="R67" t="str">
            <v>שוויץ</v>
          </cell>
          <cell r="S67" t="str">
            <v>Svájc</v>
          </cell>
          <cell r="T67" t="str">
            <v>Swiss</v>
          </cell>
          <cell r="U67" t="str">
            <v>Sviss</v>
          </cell>
          <cell r="V67" t="str">
            <v>Svizzera</v>
          </cell>
          <cell r="W67" t="str">
            <v>스위스</v>
          </cell>
          <cell r="X67" t="str">
            <v>Šveicarija</v>
          </cell>
          <cell r="Y67" t="str">
            <v>Швајцарија</v>
          </cell>
          <cell r="Z67" t="str">
            <v>Isvizzera</v>
          </cell>
          <cell r="AA67" t="str">
            <v>Sveits</v>
          </cell>
          <cell r="AB67" t="str">
            <v>سویس</v>
          </cell>
          <cell r="AC67" t="str">
            <v>Szwajcaria</v>
          </cell>
          <cell r="AD67" t="str">
            <v>Suíça</v>
          </cell>
          <cell r="AE67" t="str">
            <v>Elveția</v>
          </cell>
          <cell r="AF67" t="str">
            <v>Швейцария</v>
          </cell>
          <cell r="AG67" t="str">
            <v>Швајцарска</v>
          </cell>
          <cell r="AH67" t="str">
            <v>švajčiarsko</v>
          </cell>
          <cell r="AI67" t="str">
            <v>Švica</v>
          </cell>
          <cell r="AJ67" t="str">
            <v>Suiza</v>
          </cell>
          <cell r="AK67" t="str">
            <v>Schweiz</v>
          </cell>
          <cell r="AL67" t="str">
            <v>ประเทศสวิสเซอร์แลนด์</v>
          </cell>
          <cell r="AM67" t="str">
            <v>İsviçre</v>
          </cell>
          <cell r="AN67" t="str">
            <v>Thụy Sĩ</v>
          </cell>
          <cell r="AO67" t="str">
            <v>Швейцарія</v>
          </cell>
          <cell r="AP67" t="str">
            <v>سوئٹزرلینڈ</v>
          </cell>
          <cell r="AQ67" t="str">
            <v>Швейцария</v>
          </cell>
        </row>
        <row r="68">
          <cell r="A68" t="str">
            <v>Panama</v>
          </cell>
          <cell r="B68" t="str">
            <v>Panama</v>
          </cell>
          <cell r="C68" t="str">
            <v>بناما</v>
          </cell>
          <cell r="D68" t="str">
            <v>պանամա</v>
          </cell>
          <cell r="E68" t="str">
            <v>Panama</v>
          </cell>
          <cell r="F68" t="str">
            <v>Панама</v>
          </cell>
          <cell r="G68" t="str">
            <v>Panamà</v>
          </cell>
          <cell r="H68" t="str">
            <v>巴拿马</v>
          </cell>
          <cell r="I68" t="str">
            <v>巴拿馬</v>
          </cell>
          <cell r="J68" t="str">
            <v>Panama</v>
          </cell>
          <cell r="K68" t="str">
            <v>Panama</v>
          </cell>
          <cell r="L68" t="str">
            <v>Panama</v>
          </cell>
          <cell r="M68" t="str">
            <v>Panama</v>
          </cell>
          <cell r="N68" t="str">
            <v>Panama</v>
          </cell>
          <cell r="O68" t="str">
            <v>პანამა</v>
          </cell>
          <cell r="P68" t="str">
            <v>Panama</v>
          </cell>
          <cell r="Q68" t="str">
            <v>Παναμάς</v>
          </cell>
          <cell r="R68" t="str">
            <v>פנמה</v>
          </cell>
          <cell r="S68" t="str">
            <v>Panama</v>
          </cell>
          <cell r="T68" t="str">
            <v>Panama</v>
          </cell>
          <cell r="U68" t="str">
            <v>Panama</v>
          </cell>
          <cell r="V68" t="str">
            <v>Panama</v>
          </cell>
          <cell r="W68" t="str">
            <v>파나마</v>
          </cell>
          <cell r="X68" t="str">
            <v>Panama</v>
          </cell>
          <cell r="Y68" t="str">
            <v>Панама</v>
          </cell>
          <cell r="Z68" t="str">
            <v>Panama</v>
          </cell>
          <cell r="AA68" t="str">
            <v>Panama</v>
          </cell>
          <cell r="AB68" t="str">
            <v>پاناما</v>
          </cell>
          <cell r="AC68" t="str">
            <v>Panama</v>
          </cell>
          <cell r="AD68" t="str">
            <v>Panamá</v>
          </cell>
          <cell r="AE68" t="str">
            <v>Panama</v>
          </cell>
          <cell r="AF68" t="str">
            <v>Панама</v>
          </cell>
          <cell r="AG68" t="str">
            <v>Панама</v>
          </cell>
          <cell r="AH68" t="str">
            <v>Panama</v>
          </cell>
          <cell r="AI68" t="str">
            <v>Panama</v>
          </cell>
          <cell r="AJ68" t="str">
            <v>Panamá</v>
          </cell>
          <cell r="AK68" t="str">
            <v>Panama</v>
          </cell>
          <cell r="AL68" t="str">
            <v>ปานามา</v>
          </cell>
          <cell r="AM68" t="str">
            <v>Panama</v>
          </cell>
          <cell r="AN68" t="str">
            <v>Panama</v>
          </cell>
          <cell r="AO68" t="str">
            <v>Панама</v>
          </cell>
          <cell r="AP68" t="str">
            <v>پاناما</v>
          </cell>
          <cell r="AQ68" t="str">
            <v>Панама</v>
          </cell>
        </row>
        <row r="69">
          <cell r="A69" t="str">
            <v>Saudi Arabia</v>
          </cell>
          <cell r="B69" t="str">
            <v>Arabia Saudite</v>
          </cell>
          <cell r="C69" t="str">
            <v>المملكة العربية السعودية</v>
          </cell>
          <cell r="D69" t="str">
            <v>Սաուդյան Արաբիան</v>
          </cell>
          <cell r="E69" t="str">
            <v>Səudiyyə Ərəbistanı</v>
          </cell>
          <cell r="F69" t="str">
            <v>Саудитска Арабия</v>
          </cell>
          <cell r="G69" t="str">
            <v>Aràbia Saudita</v>
          </cell>
          <cell r="H69" t="str">
            <v>沙特阿拉伯</v>
          </cell>
          <cell r="I69" t="str">
            <v>沙特阿拉伯</v>
          </cell>
          <cell r="J69" t="str">
            <v>Saudijska Arabija</v>
          </cell>
          <cell r="K69" t="str">
            <v>Saudská arábie</v>
          </cell>
          <cell r="L69" t="str">
            <v>Saudi Arabien</v>
          </cell>
          <cell r="M69" t="str">
            <v>Saoedi-Arabië</v>
          </cell>
          <cell r="N69" t="str">
            <v>Arabie Saoudite</v>
          </cell>
          <cell r="O69" t="str">
            <v>საუდის არაბეთი</v>
          </cell>
          <cell r="P69" t="str">
            <v>Saudi Arabien</v>
          </cell>
          <cell r="Q69" t="str">
            <v>Σαουδική Αραβία</v>
          </cell>
          <cell r="R69" t="str">
            <v>ערב הסעודית</v>
          </cell>
          <cell r="S69" t="str">
            <v>Szaud-Arábia</v>
          </cell>
          <cell r="T69" t="str">
            <v>Arab Saudi</v>
          </cell>
          <cell r="U69" t="str">
            <v>Sádí-Arabía</v>
          </cell>
          <cell r="V69" t="str">
            <v>Arabia Saudita</v>
          </cell>
          <cell r="W69" t="str">
            <v>사우디 아라비아</v>
          </cell>
          <cell r="X69" t="str">
            <v>Saudo Arabija</v>
          </cell>
          <cell r="Y69" t="str">
            <v>Саудиска Арабија</v>
          </cell>
          <cell r="Z69" t="str">
            <v>Għarabja Sawdita</v>
          </cell>
          <cell r="AA69" t="str">
            <v>Saudi-Arabia</v>
          </cell>
          <cell r="AB69" t="str">
            <v>عربستان سعودی</v>
          </cell>
          <cell r="AC69" t="str">
            <v>Arabia Saudyjska</v>
          </cell>
          <cell r="AD69" t="str">
            <v>Arábia Saudita</v>
          </cell>
          <cell r="AE69" t="str">
            <v>Arabia Saudită</v>
          </cell>
          <cell r="AF69" t="str">
            <v>Саудовская Аравия</v>
          </cell>
          <cell r="AG69" t="str">
            <v>Саудијска Арабија</v>
          </cell>
          <cell r="AH69" t="str">
            <v>Saudská Arábia</v>
          </cell>
          <cell r="AI69" t="str">
            <v>Savdska Arabija</v>
          </cell>
          <cell r="AJ69" t="str">
            <v>Arabia Saudita</v>
          </cell>
          <cell r="AK69" t="str">
            <v>Saudiarabien</v>
          </cell>
          <cell r="AL69" t="str">
            <v>ซาอุดิอาราเบีย</v>
          </cell>
          <cell r="AM69" t="str">
            <v>Suudi Arabistan</v>
          </cell>
          <cell r="AN69" t="str">
            <v>Ả Rập Xê-út</v>
          </cell>
          <cell r="AO69" t="str">
            <v>Саудівська Аравія</v>
          </cell>
          <cell r="AP69" t="str">
            <v>سعودی عرب</v>
          </cell>
          <cell r="AQ69" t="str">
            <v>Саудовская Аравия</v>
          </cell>
        </row>
        <row r="70">
          <cell r="A70" t="str">
            <v>1A</v>
          </cell>
          <cell r="B70" t="str">
            <v>1A</v>
          </cell>
          <cell r="C70" t="str">
            <v>1A</v>
          </cell>
          <cell r="D70" t="str">
            <v>1A</v>
          </cell>
          <cell r="E70" t="str">
            <v>1A</v>
          </cell>
          <cell r="F70" t="str">
            <v>1A</v>
          </cell>
          <cell r="G70" t="str">
            <v>1A</v>
          </cell>
          <cell r="H70" t="str">
            <v>1A</v>
          </cell>
          <cell r="I70" t="str">
            <v>1A</v>
          </cell>
          <cell r="J70" t="str">
            <v>1A</v>
          </cell>
          <cell r="K70" t="str">
            <v>1A</v>
          </cell>
          <cell r="L70" t="str">
            <v>1A</v>
          </cell>
          <cell r="M70" t="str">
            <v>A1</v>
          </cell>
          <cell r="N70" t="str">
            <v>1A</v>
          </cell>
          <cell r="O70" t="str">
            <v>1A</v>
          </cell>
          <cell r="P70" t="str">
            <v>1A</v>
          </cell>
          <cell r="Q70" t="str">
            <v>1A</v>
          </cell>
          <cell r="R70" t="str">
            <v>1A</v>
          </cell>
          <cell r="S70" t="str">
            <v>1A</v>
          </cell>
          <cell r="T70" t="str">
            <v>1A</v>
          </cell>
          <cell r="U70" t="str">
            <v>1A</v>
          </cell>
          <cell r="V70" t="str">
            <v>1A</v>
          </cell>
          <cell r="W70" t="str">
            <v>A 그룹 1위</v>
          </cell>
          <cell r="X70" t="str">
            <v>1A</v>
          </cell>
          <cell r="Y70" t="str">
            <v>1A</v>
          </cell>
          <cell r="Z70" t="str">
            <v>1A</v>
          </cell>
          <cell r="AA70" t="str">
            <v>1A</v>
          </cell>
          <cell r="AB70" t="str">
            <v>اول گروه A</v>
          </cell>
          <cell r="AC70" t="str">
            <v>1A</v>
          </cell>
          <cell r="AD70" t="str">
            <v>1A</v>
          </cell>
          <cell r="AE70" t="str">
            <v>1A</v>
          </cell>
          <cell r="AF70" t="str">
            <v>1A</v>
          </cell>
          <cell r="AG70" t="str">
            <v>1A</v>
          </cell>
          <cell r="AH70" t="str">
            <v>1A</v>
          </cell>
          <cell r="AI70" t="str">
            <v>1A</v>
          </cell>
          <cell r="AJ70" t="str">
            <v>1A</v>
          </cell>
          <cell r="AK70" t="str">
            <v>1A</v>
          </cell>
          <cell r="AL70" t="str">
            <v>ที่ 1 สาย A</v>
          </cell>
          <cell r="AM70" t="str">
            <v>A1</v>
          </cell>
          <cell r="AN70" t="str">
            <v>1A</v>
          </cell>
          <cell r="AO70" t="str">
            <v>1A</v>
          </cell>
          <cell r="AP70" t="str">
            <v>۱الف</v>
          </cell>
          <cell r="AQ70" t="str">
            <v>1A</v>
          </cell>
        </row>
        <row r="71">
          <cell r="A71" t="str">
            <v>2A</v>
          </cell>
          <cell r="B71" t="str">
            <v>2A</v>
          </cell>
          <cell r="C71" t="str">
            <v>2A</v>
          </cell>
          <cell r="D71" t="str">
            <v>2A</v>
          </cell>
          <cell r="E71" t="str">
            <v>2A</v>
          </cell>
          <cell r="F71" t="str">
            <v>2A</v>
          </cell>
          <cell r="G71" t="str">
            <v>2A</v>
          </cell>
          <cell r="H71" t="str">
            <v>2A</v>
          </cell>
          <cell r="I71" t="str">
            <v>2A</v>
          </cell>
          <cell r="J71" t="str">
            <v>2A</v>
          </cell>
          <cell r="K71" t="str">
            <v>2A</v>
          </cell>
          <cell r="L71" t="str">
            <v>2A</v>
          </cell>
          <cell r="M71" t="str">
            <v>A2</v>
          </cell>
          <cell r="N71" t="str">
            <v>2A</v>
          </cell>
          <cell r="O71" t="str">
            <v>2A</v>
          </cell>
          <cell r="P71" t="str">
            <v>2A</v>
          </cell>
          <cell r="Q71" t="str">
            <v>2A</v>
          </cell>
          <cell r="R71" t="str">
            <v>2A</v>
          </cell>
          <cell r="S71" t="str">
            <v>2A</v>
          </cell>
          <cell r="T71" t="str">
            <v>2A</v>
          </cell>
          <cell r="U71" t="str">
            <v>2A</v>
          </cell>
          <cell r="V71" t="str">
            <v>2A</v>
          </cell>
          <cell r="W71" t="str">
            <v>A 그룹 2위</v>
          </cell>
          <cell r="X71" t="str">
            <v>2A</v>
          </cell>
          <cell r="Y71" t="str">
            <v>2A</v>
          </cell>
          <cell r="Z71" t="str">
            <v>2A</v>
          </cell>
          <cell r="AA71" t="str">
            <v>2A</v>
          </cell>
          <cell r="AB71" t="str">
            <v>دوم گروه A</v>
          </cell>
          <cell r="AC71" t="str">
            <v>2A</v>
          </cell>
          <cell r="AD71" t="str">
            <v>2A</v>
          </cell>
          <cell r="AE71" t="str">
            <v>2A</v>
          </cell>
          <cell r="AF71" t="str">
            <v>2A</v>
          </cell>
          <cell r="AG71" t="str">
            <v>2A</v>
          </cell>
          <cell r="AH71" t="str">
            <v>2A</v>
          </cell>
          <cell r="AI71" t="str">
            <v>2A</v>
          </cell>
          <cell r="AJ71" t="str">
            <v>2A</v>
          </cell>
          <cell r="AK71" t="str">
            <v>2A</v>
          </cell>
          <cell r="AL71" t="str">
            <v>ที่ 2 สาย A</v>
          </cell>
          <cell r="AM71" t="str">
            <v>A2</v>
          </cell>
          <cell r="AN71" t="str">
            <v>2A</v>
          </cell>
          <cell r="AO71" t="str">
            <v>2A</v>
          </cell>
          <cell r="AP71" t="str">
            <v>۲الف</v>
          </cell>
          <cell r="AQ71" t="str">
            <v>2A</v>
          </cell>
        </row>
        <row r="72">
          <cell r="A72" t="str">
            <v>1B</v>
          </cell>
          <cell r="B72" t="str">
            <v>1B</v>
          </cell>
          <cell r="C72" t="str">
            <v>1B</v>
          </cell>
          <cell r="D72" t="str">
            <v>1B</v>
          </cell>
          <cell r="E72" t="str">
            <v>1B</v>
          </cell>
          <cell r="F72" t="str">
            <v>1B</v>
          </cell>
          <cell r="G72" t="str">
            <v>1B</v>
          </cell>
          <cell r="H72" t="str">
            <v>1B</v>
          </cell>
          <cell r="I72" t="str">
            <v>1B</v>
          </cell>
          <cell r="J72" t="str">
            <v>1B</v>
          </cell>
          <cell r="K72" t="str">
            <v>1B</v>
          </cell>
          <cell r="L72" t="str">
            <v>1B</v>
          </cell>
          <cell r="M72" t="str">
            <v>B1</v>
          </cell>
          <cell r="N72" t="str">
            <v>1B</v>
          </cell>
          <cell r="O72" t="str">
            <v>1B</v>
          </cell>
          <cell r="P72" t="str">
            <v>1B</v>
          </cell>
          <cell r="Q72" t="str">
            <v>1B</v>
          </cell>
          <cell r="R72" t="str">
            <v>1B</v>
          </cell>
          <cell r="S72" t="str">
            <v>1B</v>
          </cell>
          <cell r="T72" t="str">
            <v>1B</v>
          </cell>
          <cell r="U72" t="str">
            <v>1B</v>
          </cell>
          <cell r="V72" t="str">
            <v>1B</v>
          </cell>
          <cell r="W72" t="str">
            <v>B 그룹 1위</v>
          </cell>
          <cell r="X72" t="str">
            <v>1B</v>
          </cell>
          <cell r="Y72" t="str">
            <v>1B</v>
          </cell>
          <cell r="Z72" t="str">
            <v>1B</v>
          </cell>
          <cell r="AA72" t="str">
            <v>1B</v>
          </cell>
          <cell r="AB72" t="str">
            <v>اول گروه B</v>
          </cell>
          <cell r="AC72" t="str">
            <v>1B</v>
          </cell>
          <cell r="AD72" t="str">
            <v>1B</v>
          </cell>
          <cell r="AE72" t="str">
            <v>1B</v>
          </cell>
          <cell r="AF72" t="str">
            <v>1B</v>
          </cell>
          <cell r="AG72" t="str">
            <v>1B</v>
          </cell>
          <cell r="AH72" t="str">
            <v>1B</v>
          </cell>
          <cell r="AI72" t="str">
            <v>1B</v>
          </cell>
          <cell r="AJ72" t="str">
            <v>1B</v>
          </cell>
          <cell r="AK72" t="str">
            <v>1B</v>
          </cell>
          <cell r="AL72" t="str">
            <v>ที่ 1 สาย B</v>
          </cell>
          <cell r="AM72" t="str">
            <v>B1</v>
          </cell>
          <cell r="AN72" t="str">
            <v>1B</v>
          </cell>
          <cell r="AO72" t="str">
            <v>1B</v>
          </cell>
          <cell r="AP72" t="str">
            <v>۱ب</v>
          </cell>
          <cell r="AQ72" t="str">
            <v>1B</v>
          </cell>
        </row>
        <row r="73">
          <cell r="A73" t="str">
            <v>2B</v>
          </cell>
          <cell r="B73" t="str">
            <v>2B</v>
          </cell>
          <cell r="C73" t="str">
            <v>2B</v>
          </cell>
          <cell r="D73" t="str">
            <v>2B</v>
          </cell>
          <cell r="E73" t="str">
            <v>2B</v>
          </cell>
          <cell r="F73" t="str">
            <v>2B</v>
          </cell>
          <cell r="G73" t="str">
            <v>2B</v>
          </cell>
          <cell r="H73" t="str">
            <v>2B</v>
          </cell>
          <cell r="I73" t="str">
            <v>2B</v>
          </cell>
          <cell r="J73" t="str">
            <v>2B</v>
          </cell>
          <cell r="K73" t="str">
            <v>2B</v>
          </cell>
          <cell r="L73" t="str">
            <v>2B</v>
          </cell>
          <cell r="M73" t="str">
            <v>B2</v>
          </cell>
          <cell r="N73" t="str">
            <v>2B</v>
          </cell>
          <cell r="O73" t="str">
            <v>2B</v>
          </cell>
          <cell r="P73" t="str">
            <v>2B</v>
          </cell>
          <cell r="Q73" t="str">
            <v>2B</v>
          </cell>
          <cell r="R73" t="str">
            <v>2B</v>
          </cell>
          <cell r="S73" t="str">
            <v>2B</v>
          </cell>
          <cell r="T73" t="str">
            <v>2B</v>
          </cell>
          <cell r="U73" t="str">
            <v>2B</v>
          </cell>
          <cell r="V73" t="str">
            <v>2B</v>
          </cell>
          <cell r="W73" t="str">
            <v>B 그룹 2위</v>
          </cell>
          <cell r="X73" t="str">
            <v>2B</v>
          </cell>
          <cell r="Y73" t="str">
            <v>2B</v>
          </cell>
          <cell r="Z73" t="str">
            <v>2B</v>
          </cell>
          <cell r="AA73" t="str">
            <v>2B</v>
          </cell>
          <cell r="AB73" t="str">
            <v>دوم گروهB</v>
          </cell>
          <cell r="AC73" t="str">
            <v>2B</v>
          </cell>
          <cell r="AD73" t="str">
            <v>2B</v>
          </cell>
          <cell r="AE73" t="str">
            <v>2B</v>
          </cell>
          <cell r="AF73" t="str">
            <v>2B</v>
          </cell>
          <cell r="AG73" t="str">
            <v>2B</v>
          </cell>
          <cell r="AH73" t="str">
            <v>2B</v>
          </cell>
          <cell r="AI73" t="str">
            <v>2B</v>
          </cell>
          <cell r="AJ73" t="str">
            <v>2B</v>
          </cell>
          <cell r="AK73" t="str">
            <v>2B</v>
          </cell>
          <cell r="AL73" t="str">
            <v>ที่ 2 สาย B</v>
          </cell>
          <cell r="AM73" t="str">
            <v>B2</v>
          </cell>
          <cell r="AN73" t="str">
            <v>2B</v>
          </cell>
          <cell r="AO73" t="str">
            <v>2B</v>
          </cell>
          <cell r="AP73" t="str">
            <v>۲ب</v>
          </cell>
          <cell r="AQ73" t="str">
            <v>2B</v>
          </cell>
        </row>
        <row r="74">
          <cell r="A74" t="str">
            <v>1C</v>
          </cell>
          <cell r="B74" t="str">
            <v>1C</v>
          </cell>
          <cell r="C74" t="str">
            <v>1C</v>
          </cell>
          <cell r="D74" t="str">
            <v>1C</v>
          </cell>
          <cell r="E74" t="str">
            <v>1C</v>
          </cell>
          <cell r="F74" t="str">
            <v>1C</v>
          </cell>
          <cell r="G74" t="str">
            <v>1C</v>
          </cell>
          <cell r="H74" t="str">
            <v>1C</v>
          </cell>
          <cell r="I74" t="str">
            <v>1C</v>
          </cell>
          <cell r="J74" t="str">
            <v>1C</v>
          </cell>
          <cell r="K74" t="str">
            <v>1C</v>
          </cell>
          <cell r="L74" t="str">
            <v>1C</v>
          </cell>
          <cell r="M74" t="str">
            <v>C1</v>
          </cell>
          <cell r="N74" t="str">
            <v>1C</v>
          </cell>
          <cell r="O74" t="str">
            <v>1C</v>
          </cell>
          <cell r="P74" t="str">
            <v>1C</v>
          </cell>
          <cell r="Q74" t="str">
            <v>1Γ</v>
          </cell>
          <cell r="R74" t="str">
            <v>1C</v>
          </cell>
          <cell r="S74" t="str">
            <v>1C</v>
          </cell>
          <cell r="T74" t="str">
            <v>1C</v>
          </cell>
          <cell r="U74" t="str">
            <v>1C</v>
          </cell>
          <cell r="V74" t="str">
            <v>1C</v>
          </cell>
          <cell r="W74" t="str">
            <v>C 그룹 1위</v>
          </cell>
          <cell r="X74" t="str">
            <v>1C</v>
          </cell>
          <cell r="Y74" t="str">
            <v>1C</v>
          </cell>
          <cell r="Z74" t="str">
            <v>1Ċ</v>
          </cell>
          <cell r="AA74" t="str">
            <v>1C</v>
          </cell>
          <cell r="AB74" t="str">
            <v>اول گروه C</v>
          </cell>
          <cell r="AC74" t="str">
            <v>1C</v>
          </cell>
          <cell r="AD74" t="str">
            <v>1C</v>
          </cell>
          <cell r="AE74" t="str">
            <v>1C</v>
          </cell>
          <cell r="AF74" t="str">
            <v>1C</v>
          </cell>
          <cell r="AG74" t="str">
            <v>1C</v>
          </cell>
          <cell r="AH74" t="str">
            <v>1C</v>
          </cell>
          <cell r="AI74" t="str">
            <v>1C</v>
          </cell>
          <cell r="AJ74" t="str">
            <v>1C</v>
          </cell>
          <cell r="AK74" t="str">
            <v>1C</v>
          </cell>
          <cell r="AL74" t="str">
            <v>ที่ 1 สาย C</v>
          </cell>
          <cell r="AM74" t="str">
            <v>C1</v>
          </cell>
          <cell r="AN74" t="str">
            <v>1C</v>
          </cell>
          <cell r="AO74" t="str">
            <v>1C</v>
          </cell>
          <cell r="AP74" t="str">
            <v>۱ج</v>
          </cell>
          <cell r="AQ74" t="str">
            <v>1C</v>
          </cell>
        </row>
        <row r="75">
          <cell r="A75" t="str">
            <v>2C</v>
          </cell>
          <cell r="B75" t="str">
            <v>2C</v>
          </cell>
          <cell r="C75" t="str">
            <v>2C</v>
          </cell>
          <cell r="D75" t="str">
            <v>2C</v>
          </cell>
          <cell r="E75" t="str">
            <v>2C</v>
          </cell>
          <cell r="F75" t="str">
            <v>2C</v>
          </cell>
          <cell r="G75" t="str">
            <v>2C</v>
          </cell>
          <cell r="H75" t="str">
            <v>2C</v>
          </cell>
          <cell r="I75" t="str">
            <v>2C</v>
          </cell>
          <cell r="J75" t="str">
            <v>2C</v>
          </cell>
          <cell r="K75" t="str">
            <v>2C</v>
          </cell>
          <cell r="L75" t="str">
            <v>2C</v>
          </cell>
          <cell r="M75" t="str">
            <v>C2</v>
          </cell>
          <cell r="N75" t="str">
            <v>2C</v>
          </cell>
          <cell r="O75" t="str">
            <v>2C</v>
          </cell>
          <cell r="P75" t="str">
            <v>2C</v>
          </cell>
          <cell r="Q75" t="str">
            <v>2Γ</v>
          </cell>
          <cell r="R75" t="str">
            <v>2C</v>
          </cell>
          <cell r="S75" t="str">
            <v>2C</v>
          </cell>
          <cell r="T75" t="str">
            <v>2C</v>
          </cell>
          <cell r="U75" t="str">
            <v>2C</v>
          </cell>
          <cell r="V75" t="str">
            <v>2C</v>
          </cell>
          <cell r="W75" t="str">
            <v>C 그룹 2위</v>
          </cell>
          <cell r="X75" t="str">
            <v>2C</v>
          </cell>
          <cell r="Y75" t="str">
            <v>2C</v>
          </cell>
          <cell r="Z75" t="str">
            <v>2Ċ</v>
          </cell>
          <cell r="AA75" t="str">
            <v>2C</v>
          </cell>
          <cell r="AB75" t="str">
            <v>دوم گروه C</v>
          </cell>
          <cell r="AC75" t="str">
            <v>2C</v>
          </cell>
          <cell r="AD75" t="str">
            <v>2C</v>
          </cell>
          <cell r="AE75" t="str">
            <v>2C</v>
          </cell>
          <cell r="AF75" t="str">
            <v>2C</v>
          </cell>
          <cell r="AG75" t="str">
            <v>2C</v>
          </cell>
          <cell r="AH75" t="str">
            <v>2C</v>
          </cell>
          <cell r="AI75" t="str">
            <v>2C</v>
          </cell>
          <cell r="AJ75" t="str">
            <v>2C</v>
          </cell>
          <cell r="AK75" t="str">
            <v>2C</v>
          </cell>
          <cell r="AL75" t="str">
            <v>ที่ 2 สาย C</v>
          </cell>
          <cell r="AM75" t="str">
            <v>C2</v>
          </cell>
          <cell r="AN75" t="str">
            <v>2C</v>
          </cell>
          <cell r="AO75" t="str">
            <v>2C</v>
          </cell>
          <cell r="AP75" t="str">
            <v>۲ج</v>
          </cell>
          <cell r="AQ75" t="str">
            <v>2C</v>
          </cell>
        </row>
        <row r="76">
          <cell r="A76" t="str">
            <v>1D</v>
          </cell>
          <cell r="B76" t="str">
            <v>1D</v>
          </cell>
          <cell r="C76" t="str">
            <v>1D</v>
          </cell>
          <cell r="D76" t="str">
            <v>1D</v>
          </cell>
          <cell r="E76" t="str">
            <v>1D</v>
          </cell>
          <cell r="F76" t="str">
            <v>1D</v>
          </cell>
          <cell r="G76" t="str">
            <v>1D</v>
          </cell>
          <cell r="H76" t="str">
            <v>1D</v>
          </cell>
          <cell r="I76" t="str">
            <v>1D</v>
          </cell>
          <cell r="J76" t="str">
            <v>1D</v>
          </cell>
          <cell r="K76" t="str">
            <v>1D</v>
          </cell>
          <cell r="L76" t="str">
            <v>1D</v>
          </cell>
          <cell r="M76" t="str">
            <v>D1</v>
          </cell>
          <cell r="N76" t="str">
            <v>1D</v>
          </cell>
          <cell r="O76" t="str">
            <v>1D</v>
          </cell>
          <cell r="P76" t="str">
            <v>1D</v>
          </cell>
          <cell r="Q76" t="str">
            <v>1Δ</v>
          </cell>
          <cell r="R76" t="str">
            <v>1D</v>
          </cell>
          <cell r="S76" t="str">
            <v>1D</v>
          </cell>
          <cell r="T76" t="str">
            <v>1D</v>
          </cell>
          <cell r="U76" t="str">
            <v>1D</v>
          </cell>
          <cell r="V76" t="str">
            <v>1D</v>
          </cell>
          <cell r="W76" t="str">
            <v>D 그룹 1위</v>
          </cell>
          <cell r="X76" t="str">
            <v>1D</v>
          </cell>
          <cell r="Y76" t="str">
            <v>1D</v>
          </cell>
          <cell r="Z76" t="str">
            <v>1D</v>
          </cell>
          <cell r="AA76" t="str">
            <v>1D</v>
          </cell>
          <cell r="AB76" t="str">
            <v>اول گروه D</v>
          </cell>
          <cell r="AC76" t="str">
            <v>1D</v>
          </cell>
          <cell r="AD76" t="str">
            <v>1D</v>
          </cell>
          <cell r="AE76" t="str">
            <v>1D</v>
          </cell>
          <cell r="AF76" t="str">
            <v>1D</v>
          </cell>
          <cell r="AG76" t="str">
            <v>1D</v>
          </cell>
          <cell r="AH76" t="str">
            <v>1D</v>
          </cell>
          <cell r="AI76" t="str">
            <v>1D</v>
          </cell>
          <cell r="AJ76" t="str">
            <v>1D</v>
          </cell>
          <cell r="AK76" t="str">
            <v>1D</v>
          </cell>
          <cell r="AL76" t="str">
            <v>ที่ 1 สาย D</v>
          </cell>
          <cell r="AM76" t="str">
            <v>D1</v>
          </cell>
          <cell r="AN76" t="str">
            <v>1D</v>
          </cell>
          <cell r="AO76" t="str">
            <v>1D</v>
          </cell>
          <cell r="AP76" t="str">
            <v>۱د</v>
          </cell>
          <cell r="AQ76" t="str">
            <v>1D</v>
          </cell>
        </row>
        <row r="77">
          <cell r="A77" t="str">
            <v>2D</v>
          </cell>
          <cell r="B77" t="str">
            <v>2D</v>
          </cell>
          <cell r="C77" t="str">
            <v>2D</v>
          </cell>
          <cell r="D77" t="str">
            <v>2D</v>
          </cell>
          <cell r="E77" t="str">
            <v>2D</v>
          </cell>
          <cell r="F77" t="str">
            <v>2D</v>
          </cell>
          <cell r="G77" t="str">
            <v>2D</v>
          </cell>
          <cell r="H77" t="str">
            <v>2D</v>
          </cell>
          <cell r="I77" t="str">
            <v>2D</v>
          </cell>
          <cell r="J77" t="str">
            <v>2D</v>
          </cell>
          <cell r="K77" t="str">
            <v>2D</v>
          </cell>
          <cell r="L77" t="str">
            <v>2D</v>
          </cell>
          <cell r="M77" t="str">
            <v>D2</v>
          </cell>
          <cell r="N77" t="str">
            <v>2D</v>
          </cell>
          <cell r="O77" t="str">
            <v>2D</v>
          </cell>
          <cell r="P77" t="str">
            <v>2D</v>
          </cell>
          <cell r="Q77" t="str">
            <v>2Δ</v>
          </cell>
          <cell r="R77" t="str">
            <v>2D</v>
          </cell>
          <cell r="S77" t="str">
            <v>2D</v>
          </cell>
          <cell r="T77" t="str">
            <v>2D</v>
          </cell>
          <cell r="U77" t="str">
            <v>2D</v>
          </cell>
          <cell r="V77" t="str">
            <v>2D</v>
          </cell>
          <cell r="W77" t="str">
            <v>D 그룹 2위</v>
          </cell>
          <cell r="X77" t="str">
            <v>2D</v>
          </cell>
          <cell r="Y77" t="str">
            <v>2D</v>
          </cell>
          <cell r="Z77" t="str">
            <v>2D</v>
          </cell>
          <cell r="AA77" t="str">
            <v>2D</v>
          </cell>
          <cell r="AB77" t="str">
            <v>دوم گروه D</v>
          </cell>
          <cell r="AC77" t="str">
            <v>2D</v>
          </cell>
          <cell r="AD77" t="str">
            <v>2D</v>
          </cell>
          <cell r="AE77" t="str">
            <v>2D</v>
          </cell>
          <cell r="AF77" t="str">
            <v>2D</v>
          </cell>
          <cell r="AG77" t="str">
            <v>2D</v>
          </cell>
          <cell r="AH77" t="str">
            <v>2D</v>
          </cell>
          <cell r="AI77" t="str">
            <v>2D</v>
          </cell>
          <cell r="AJ77" t="str">
            <v>2D</v>
          </cell>
          <cell r="AK77" t="str">
            <v>2D</v>
          </cell>
          <cell r="AL77" t="str">
            <v>ที่ 2 สาย D</v>
          </cell>
          <cell r="AM77" t="str">
            <v>D2</v>
          </cell>
          <cell r="AN77" t="str">
            <v>2D</v>
          </cell>
          <cell r="AO77" t="str">
            <v>2D</v>
          </cell>
          <cell r="AP77" t="str">
            <v>۲د</v>
          </cell>
          <cell r="AQ77" t="str">
            <v>2D</v>
          </cell>
        </row>
        <row r="78">
          <cell r="A78" t="str">
            <v>1E</v>
          </cell>
          <cell r="B78" t="str">
            <v>1E</v>
          </cell>
          <cell r="C78" t="str">
            <v>1E</v>
          </cell>
          <cell r="D78" t="str">
            <v>1E</v>
          </cell>
          <cell r="E78" t="str">
            <v>1E</v>
          </cell>
          <cell r="F78" t="str">
            <v>1E</v>
          </cell>
          <cell r="G78" t="str">
            <v>1E</v>
          </cell>
          <cell r="H78" t="str">
            <v>1E</v>
          </cell>
          <cell r="I78" t="str">
            <v>1E</v>
          </cell>
          <cell r="J78" t="str">
            <v>1E</v>
          </cell>
          <cell r="K78" t="str">
            <v>1E</v>
          </cell>
          <cell r="L78" t="str">
            <v>1E</v>
          </cell>
          <cell r="M78" t="str">
            <v>E1</v>
          </cell>
          <cell r="N78" t="str">
            <v>1E</v>
          </cell>
          <cell r="O78" t="str">
            <v>1E</v>
          </cell>
          <cell r="P78" t="str">
            <v>1E</v>
          </cell>
          <cell r="Q78" t="str">
            <v>1Ε</v>
          </cell>
          <cell r="R78" t="str">
            <v>1E</v>
          </cell>
          <cell r="S78" t="str">
            <v>1E</v>
          </cell>
          <cell r="T78" t="str">
            <v>1E</v>
          </cell>
          <cell r="U78" t="str">
            <v>1E</v>
          </cell>
          <cell r="V78" t="str">
            <v>1E</v>
          </cell>
          <cell r="W78" t="str">
            <v>E 그룹 1위</v>
          </cell>
          <cell r="X78" t="str">
            <v>1E</v>
          </cell>
          <cell r="Y78" t="str">
            <v>1E</v>
          </cell>
          <cell r="Z78" t="str">
            <v>1E</v>
          </cell>
          <cell r="AA78" t="str">
            <v>1E</v>
          </cell>
          <cell r="AB78" t="str">
            <v>اول گروه E</v>
          </cell>
          <cell r="AC78" t="str">
            <v>1E</v>
          </cell>
          <cell r="AD78" t="str">
            <v>1E</v>
          </cell>
          <cell r="AE78" t="str">
            <v>1E</v>
          </cell>
          <cell r="AF78" t="str">
            <v>1E</v>
          </cell>
          <cell r="AG78" t="str">
            <v>1E</v>
          </cell>
          <cell r="AH78" t="str">
            <v>1E</v>
          </cell>
          <cell r="AI78" t="str">
            <v>1E</v>
          </cell>
          <cell r="AJ78" t="str">
            <v>1E</v>
          </cell>
          <cell r="AK78" t="str">
            <v>1E</v>
          </cell>
          <cell r="AL78" t="str">
            <v>ที่ 1 สาย E</v>
          </cell>
          <cell r="AM78" t="str">
            <v>E1</v>
          </cell>
          <cell r="AN78" t="str">
            <v>1E</v>
          </cell>
          <cell r="AO78" t="str">
            <v>1E</v>
          </cell>
          <cell r="AP78" t="str">
            <v>۱ھ</v>
          </cell>
          <cell r="AQ78" t="str">
            <v>1E</v>
          </cell>
        </row>
        <row r="79">
          <cell r="A79" t="str">
            <v>2E</v>
          </cell>
          <cell r="B79" t="str">
            <v>2E</v>
          </cell>
          <cell r="C79" t="str">
            <v>2E</v>
          </cell>
          <cell r="D79" t="str">
            <v>2E</v>
          </cell>
          <cell r="E79" t="str">
            <v>2E</v>
          </cell>
          <cell r="F79" t="str">
            <v>2E</v>
          </cell>
          <cell r="G79" t="str">
            <v>2E</v>
          </cell>
          <cell r="H79" t="str">
            <v>2E</v>
          </cell>
          <cell r="I79" t="str">
            <v>2E</v>
          </cell>
          <cell r="J79" t="str">
            <v>2E</v>
          </cell>
          <cell r="K79" t="str">
            <v>2E</v>
          </cell>
          <cell r="L79" t="str">
            <v>2E</v>
          </cell>
          <cell r="M79" t="str">
            <v>E2</v>
          </cell>
          <cell r="N79" t="str">
            <v>2E</v>
          </cell>
          <cell r="O79" t="str">
            <v>2E</v>
          </cell>
          <cell r="P79" t="str">
            <v>2E</v>
          </cell>
          <cell r="Q79" t="str">
            <v>2Ε</v>
          </cell>
          <cell r="R79" t="str">
            <v>2E</v>
          </cell>
          <cell r="S79" t="str">
            <v>2E</v>
          </cell>
          <cell r="T79" t="str">
            <v>2E</v>
          </cell>
          <cell r="U79" t="str">
            <v>2E</v>
          </cell>
          <cell r="V79" t="str">
            <v>2E</v>
          </cell>
          <cell r="W79" t="str">
            <v>E 그룹 2위</v>
          </cell>
          <cell r="X79" t="str">
            <v>2E</v>
          </cell>
          <cell r="Y79" t="str">
            <v>2E</v>
          </cell>
          <cell r="Z79" t="str">
            <v>2E</v>
          </cell>
          <cell r="AA79" t="str">
            <v>2E</v>
          </cell>
          <cell r="AB79" t="str">
            <v>دوم گروه E</v>
          </cell>
          <cell r="AC79" t="str">
            <v>2E</v>
          </cell>
          <cell r="AD79" t="str">
            <v>2E</v>
          </cell>
          <cell r="AE79" t="str">
            <v>2E</v>
          </cell>
          <cell r="AF79" t="str">
            <v>2E</v>
          </cell>
          <cell r="AG79" t="str">
            <v>2E</v>
          </cell>
          <cell r="AH79" t="str">
            <v>2E</v>
          </cell>
          <cell r="AI79" t="str">
            <v>2E</v>
          </cell>
          <cell r="AJ79" t="str">
            <v>2E</v>
          </cell>
          <cell r="AK79" t="str">
            <v>2E</v>
          </cell>
          <cell r="AL79" t="str">
            <v>ที่ 2 สาย E</v>
          </cell>
          <cell r="AM79" t="str">
            <v>E2</v>
          </cell>
          <cell r="AN79" t="str">
            <v>2E</v>
          </cell>
          <cell r="AO79" t="str">
            <v>2E</v>
          </cell>
          <cell r="AP79" t="str">
            <v>۲ھ</v>
          </cell>
          <cell r="AQ79" t="str">
            <v>2E</v>
          </cell>
        </row>
        <row r="80">
          <cell r="A80" t="str">
            <v>1F</v>
          </cell>
          <cell r="B80" t="str">
            <v>1F</v>
          </cell>
          <cell r="C80" t="str">
            <v>1F</v>
          </cell>
          <cell r="D80" t="str">
            <v>1F</v>
          </cell>
          <cell r="E80" t="str">
            <v>1F</v>
          </cell>
          <cell r="F80" t="str">
            <v>1F</v>
          </cell>
          <cell r="G80" t="str">
            <v>1F</v>
          </cell>
          <cell r="H80" t="str">
            <v>1F</v>
          </cell>
          <cell r="I80" t="str">
            <v>1F</v>
          </cell>
          <cell r="J80" t="str">
            <v>1F</v>
          </cell>
          <cell r="K80" t="str">
            <v>1F</v>
          </cell>
          <cell r="L80" t="str">
            <v>1F</v>
          </cell>
          <cell r="M80" t="str">
            <v>F1</v>
          </cell>
          <cell r="N80" t="str">
            <v>1F</v>
          </cell>
          <cell r="O80" t="str">
            <v>1F</v>
          </cell>
          <cell r="P80" t="str">
            <v>1F</v>
          </cell>
          <cell r="Q80" t="str">
            <v>1ΣΤ</v>
          </cell>
          <cell r="R80" t="str">
            <v>1F</v>
          </cell>
          <cell r="S80" t="str">
            <v>1F</v>
          </cell>
          <cell r="T80" t="str">
            <v>1F</v>
          </cell>
          <cell r="U80" t="str">
            <v>1F</v>
          </cell>
          <cell r="V80" t="str">
            <v>1F</v>
          </cell>
          <cell r="W80" t="str">
            <v>F 그룹 1위</v>
          </cell>
          <cell r="X80" t="str">
            <v>1F</v>
          </cell>
          <cell r="Y80" t="str">
            <v>1F</v>
          </cell>
          <cell r="Z80" t="str">
            <v>1F</v>
          </cell>
          <cell r="AA80" t="str">
            <v>1F</v>
          </cell>
          <cell r="AB80" t="str">
            <v>اول گروه F</v>
          </cell>
          <cell r="AC80" t="str">
            <v>1F</v>
          </cell>
          <cell r="AD80" t="str">
            <v>1F</v>
          </cell>
          <cell r="AE80" t="str">
            <v>1F</v>
          </cell>
          <cell r="AF80" t="str">
            <v>1F</v>
          </cell>
          <cell r="AG80" t="str">
            <v>1F</v>
          </cell>
          <cell r="AH80" t="str">
            <v>1F</v>
          </cell>
          <cell r="AI80" t="str">
            <v>1F</v>
          </cell>
          <cell r="AJ80" t="str">
            <v>1F</v>
          </cell>
          <cell r="AK80" t="str">
            <v>1F</v>
          </cell>
          <cell r="AL80" t="str">
            <v>ที่ 1 สาย F</v>
          </cell>
          <cell r="AM80" t="str">
            <v>F1</v>
          </cell>
          <cell r="AN80" t="str">
            <v>1F</v>
          </cell>
          <cell r="AO80" t="str">
            <v>1F</v>
          </cell>
          <cell r="AP80" t="str">
            <v>۱و</v>
          </cell>
          <cell r="AQ80" t="str">
            <v>1F</v>
          </cell>
        </row>
        <row r="81">
          <cell r="A81" t="str">
            <v>2F</v>
          </cell>
          <cell r="B81" t="str">
            <v>2F</v>
          </cell>
          <cell r="C81" t="str">
            <v>2F</v>
          </cell>
          <cell r="D81" t="str">
            <v>2F</v>
          </cell>
          <cell r="E81" t="str">
            <v>2F</v>
          </cell>
          <cell r="F81" t="str">
            <v>2F</v>
          </cell>
          <cell r="G81" t="str">
            <v>2F</v>
          </cell>
          <cell r="H81" t="str">
            <v>2F</v>
          </cell>
          <cell r="I81" t="str">
            <v>2F</v>
          </cell>
          <cell r="J81" t="str">
            <v>2F</v>
          </cell>
          <cell r="K81" t="str">
            <v>2F</v>
          </cell>
          <cell r="L81" t="str">
            <v>2F</v>
          </cell>
          <cell r="M81" t="str">
            <v>F2</v>
          </cell>
          <cell r="N81" t="str">
            <v>2F</v>
          </cell>
          <cell r="O81" t="str">
            <v>2F</v>
          </cell>
          <cell r="P81" t="str">
            <v>2F</v>
          </cell>
          <cell r="Q81" t="str">
            <v>2ΣΤ</v>
          </cell>
          <cell r="R81" t="str">
            <v>2F</v>
          </cell>
          <cell r="S81" t="str">
            <v>2F</v>
          </cell>
          <cell r="T81" t="str">
            <v>2F</v>
          </cell>
          <cell r="U81" t="str">
            <v>2F</v>
          </cell>
          <cell r="V81" t="str">
            <v>2F</v>
          </cell>
          <cell r="W81" t="str">
            <v>F 그룹 2위</v>
          </cell>
          <cell r="X81" t="str">
            <v>2F</v>
          </cell>
          <cell r="Y81" t="str">
            <v>2F</v>
          </cell>
          <cell r="Z81" t="str">
            <v>2F</v>
          </cell>
          <cell r="AA81" t="str">
            <v>2F</v>
          </cell>
          <cell r="AB81" t="str">
            <v>دوم گروه F</v>
          </cell>
          <cell r="AC81" t="str">
            <v>2F</v>
          </cell>
          <cell r="AD81" t="str">
            <v>2F</v>
          </cell>
          <cell r="AE81" t="str">
            <v>2F</v>
          </cell>
          <cell r="AF81" t="str">
            <v>2F</v>
          </cell>
          <cell r="AG81" t="str">
            <v>2F</v>
          </cell>
          <cell r="AH81" t="str">
            <v>2F</v>
          </cell>
          <cell r="AI81" t="str">
            <v>2F</v>
          </cell>
          <cell r="AJ81" t="str">
            <v>2F</v>
          </cell>
          <cell r="AK81" t="str">
            <v>2F</v>
          </cell>
          <cell r="AL81" t="str">
            <v>ที่ 2 สาย F</v>
          </cell>
          <cell r="AM81" t="str">
            <v>F2</v>
          </cell>
          <cell r="AN81" t="str">
            <v>2F</v>
          </cell>
          <cell r="AO81" t="str">
            <v>2F</v>
          </cell>
          <cell r="AP81" t="str">
            <v>۲و</v>
          </cell>
          <cell r="AQ81" t="str">
            <v>2F</v>
          </cell>
        </row>
        <row r="82">
          <cell r="A82" t="str">
            <v>1G</v>
          </cell>
          <cell r="B82" t="str">
            <v>1G</v>
          </cell>
          <cell r="C82" t="str">
            <v>1G</v>
          </cell>
          <cell r="D82" t="str">
            <v>1G</v>
          </cell>
          <cell r="E82" t="str">
            <v>1G</v>
          </cell>
          <cell r="F82" t="str">
            <v>1G</v>
          </cell>
          <cell r="G82" t="str">
            <v>1G</v>
          </cell>
          <cell r="H82" t="str">
            <v>1G</v>
          </cell>
          <cell r="I82" t="str">
            <v>1G</v>
          </cell>
          <cell r="J82" t="str">
            <v>1G</v>
          </cell>
          <cell r="K82" t="str">
            <v>1G</v>
          </cell>
          <cell r="L82" t="str">
            <v>1G</v>
          </cell>
          <cell r="M82" t="str">
            <v>G1</v>
          </cell>
          <cell r="N82" t="str">
            <v>1G</v>
          </cell>
          <cell r="O82" t="str">
            <v>1G</v>
          </cell>
          <cell r="P82" t="str">
            <v>1G</v>
          </cell>
          <cell r="Q82" t="str">
            <v>1Ζ</v>
          </cell>
          <cell r="R82" t="str">
            <v>1G</v>
          </cell>
          <cell r="S82" t="str">
            <v>1G</v>
          </cell>
          <cell r="T82" t="str">
            <v>1G</v>
          </cell>
          <cell r="U82" t="str">
            <v>1G</v>
          </cell>
          <cell r="V82" t="str">
            <v>1G</v>
          </cell>
          <cell r="W82" t="str">
            <v>G 그룹 1위</v>
          </cell>
          <cell r="X82" t="str">
            <v>1G</v>
          </cell>
          <cell r="Y82" t="str">
            <v>1G</v>
          </cell>
          <cell r="Z82" t="str">
            <v>1Ġ</v>
          </cell>
          <cell r="AA82" t="str">
            <v>1G</v>
          </cell>
          <cell r="AB82" t="str">
            <v>اول گروه G</v>
          </cell>
          <cell r="AC82" t="str">
            <v>1G</v>
          </cell>
          <cell r="AD82" t="str">
            <v>1G</v>
          </cell>
          <cell r="AE82" t="str">
            <v>1G</v>
          </cell>
          <cell r="AF82" t="str">
            <v>1G</v>
          </cell>
          <cell r="AG82" t="str">
            <v>1G</v>
          </cell>
          <cell r="AH82" t="str">
            <v>1G</v>
          </cell>
          <cell r="AI82" t="str">
            <v>1G</v>
          </cell>
          <cell r="AJ82" t="str">
            <v>1G</v>
          </cell>
          <cell r="AK82" t="str">
            <v>1G</v>
          </cell>
          <cell r="AL82" t="str">
            <v>ที่ 1 สาย G</v>
          </cell>
          <cell r="AM82" t="str">
            <v>G1</v>
          </cell>
          <cell r="AN82" t="str">
            <v>1G</v>
          </cell>
          <cell r="AO82" t="str">
            <v>1G</v>
          </cell>
          <cell r="AP82" t="str">
            <v>۱ز</v>
          </cell>
          <cell r="AQ82" t="str">
            <v>1G</v>
          </cell>
        </row>
        <row r="83">
          <cell r="A83" t="str">
            <v>2G</v>
          </cell>
          <cell r="B83" t="str">
            <v>2G</v>
          </cell>
          <cell r="C83" t="str">
            <v>2G</v>
          </cell>
          <cell r="D83" t="str">
            <v>2G</v>
          </cell>
          <cell r="E83" t="str">
            <v>2G</v>
          </cell>
          <cell r="F83" t="str">
            <v>2G</v>
          </cell>
          <cell r="G83" t="str">
            <v>2G</v>
          </cell>
          <cell r="H83" t="str">
            <v>2G</v>
          </cell>
          <cell r="I83" t="str">
            <v>2G</v>
          </cell>
          <cell r="J83" t="str">
            <v>2G</v>
          </cell>
          <cell r="K83" t="str">
            <v>2G</v>
          </cell>
          <cell r="L83" t="str">
            <v>2G</v>
          </cell>
          <cell r="M83" t="str">
            <v>G2</v>
          </cell>
          <cell r="N83" t="str">
            <v>2G</v>
          </cell>
          <cell r="O83" t="str">
            <v>2G</v>
          </cell>
          <cell r="P83" t="str">
            <v>2G</v>
          </cell>
          <cell r="Q83" t="str">
            <v>2Ζ</v>
          </cell>
          <cell r="R83" t="str">
            <v>2G</v>
          </cell>
          <cell r="S83" t="str">
            <v>2G</v>
          </cell>
          <cell r="T83" t="str">
            <v>2G</v>
          </cell>
          <cell r="U83" t="str">
            <v>2G</v>
          </cell>
          <cell r="V83" t="str">
            <v>2G</v>
          </cell>
          <cell r="W83" t="str">
            <v>G 그룹 2위</v>
          </cell>
          <cell r="X83" t="str">
            <v>2G</v>
          </cell>
          <cell r="Y83" t="str">
            <v>2G</v>
          </cell>
          <cell r="Z83" t="str">
            <v>2Ġ</v>
          </cell>
          <cell r="AA83" t="str">
            <v>2G</v>
          </cell>
          <cell r="AB83" t="str">
            <v>دوم گروه G</v>
          </cell>
          <cell r="AC83" t="str">
            <v>2G</v>
          </cell>
          <cell r="AD83" t="str">
            <v>2G</v>
          </cell>
          <cell r="AE83" t="str">
            <v>2G</v>
          </cell>
          <cell r="AF83" t="str">
            <v>2G</v>
          </cell>
          <cell r="AG83" t="str">
            <v>2G</v>
          </cell>
          <cell r="AH83" t="str">
            <v>2G</v>
          </cell>
          <cell r="AI83" t="str">
            <v>2G</v>
          </cell>
          <cell r="AJ83" t="str">
            <v>2G</v>
          </cell>
          <cell r="AK83" t="str">
            <v>2G</v>
          </cell>
          <cell r="AL83" t="str">
            <v>ที่ 2 สาย G</v>
          </cell>
          <cell r="AM83" t="str">
            <v>G2</v>
          </cell>
          <cell r="AN83" t="str">
            <v>2G</v>
          </cell>
          <cell r="AO83" t="str">
            <v>2G</v>
          </cell>
          <cell r="AP83" t="str">
            <v>۲ز</v>
          </cell>
          <cell r="AQ83" t="str">
            <v>2G</v>
          </cell>
        </row>
        <row r="84">
          <cell r="A84" t="str">
            <v>1H</v>
          </cell>
          <cell r="B84" t="str">
            <v>1H</v>
          </cell>
          <cell r="C84" t="str">
            <v>1H</v>
          </cell>
          <cell r="D84" t="str">
            <v>1H</v>
          </cell>
          <cell r="E84" t="str">
            <v>1H</v>
          </cell>
          <cell r="F84" t="str">
            <v>1H</v>
          </cell>
          <cell r="G84" t="str">
            <v>1H</v>
          </cell>
          <cell r="H84" t="str">
            <v>1H</v>
          </cell>
          <cell r="I84" t="str">
            <v>1H</v>
          </cell>
          <cell r="J84" t="str">
            <v>1H</v>
          </cell>
          <cell r="K84" t="str">
            <v>1H</v>
          </cell>
          <cell r="L84" t="str">
            <v>1H</v>
          </cell>
          <cell r="M84" t="str">
            <v>H1</v>
          </cell>
          <cell r="N84" t="str">
            <v>1H</v>
          </cell>
          <cell r="O84" t="str">
            <v>1H</v>
          </cell>
          <cell r="P84" t="str">
            <v>1H</v>
          </cell>
          <cell r="Q84" t="str">
            <v>1H</v>
          </cell>
          <cell r="R84" t="str">
            <v>1H</v>
          </cell>
          <cell r="S84" t="str">
            <v>1H</v>
          </cell>
          <cell r="T84" t="str">
            <v>1H</v>
          </cell>
          <cell r="U84" t="str">
            <v>1H</v>
          </cell>
          <cell r="V84" t="str">
            <v>1H</v>
          </cell>
          <cell r="W84" t="str">
            <v>H 그룹 1위</v>
          </cell>
          <cell r="X84" t="str">
            <v>1H</v>
          </cell>
          <cell r="Y84" t="str">
            <v>1H</v>
          </cell>
          <cell r="Z84" t="str">
            <v>1Ħ</v>
          </cell>
          <cell r="AA84" t="str">
            <v>1H</v>
          </cell>
          <cell r="AB84" t="str">
            <v>اول گروه H</v>
          </cell>
          <cell r="AC84" t="str">
            <v>1H</v>
          </cell>
          <cell r="AD84" t="str">
            <v>1H</v>
          </cell>
          <cell r="AE84" t="str">
            <v>1H</v>
          </cell>
          <cell r="AF84" t="str">
            <v>1H</v>
          </cell>
          <cell r="AG84" t="str">
            <v>1H</v>
          </cell>
          <cell r="AH84" t="str">
            <v>1H</v>
          </cell>
          <cell r="AI84" t="str">
            <v>1H</v>
          </cell>
          <cell r="AJ84" t="str">
            <v>1H</v>
          </cell>
          <cell r="AK84" t="str">
            <v>1H</v>
          </cell>
          <cell r="AL84" t="str">
            <v>ที่ 1 สาย H</v>
          </cell>
          <cell r="AM84" t="str">
            <v>H1</v>
          </cell>
          <cell r="AN84" t="str">
            <v>1H</v>
          </cell>
          <cell r="AO84" t="str">
            <v>1H</v>
          </cell>
          <cell r="AP84" t="str">
            <v>۱ح</v>
          </cell>
          <cell r="AQ84" t="str">
            <v>1H</v>
          </cell>
        </row>
        <row r="85">
          <cell r="A85" t="str">
            <v>2H</v>
          </cell>
          <cell r="B85" t="str">
            <v>2H</v>
          </cell>
          <cell r="C85" t="str">
            <v>2H</v>
          </cell>
          <cell r="D85" t="str">
            <v>2H</v>
          </cell>
          <cell r="E85" t="str">
            <v>2H</v>
          </cell>
          <cell r="F85" t="str">
            <v>2H</v>
          </cell>
          <cell r="G85" t="str">
            <v>2H</v>
          </cell>
          <cell r="H85" t="str">
            <v>2H</v>
          </cell>
          <cell r="I85" t="str">
            <v>2H</v>
          </cell>
          <cell r="J85" t="str">
            <v>2H</v>
          </cell>
          <cell r="K85" t="str">
            <v>2H</v>
          </cell>
          <cell r="L85" t="str">
            <v>2H</v>
          </cell>
          <cell r="M85" t="str">
            <v>H2</v>
          </cell>
          <cell r="N85" t="str">
            <v>2H</v>
          </cell>
          <cell r="O85" t="str">
            <v>2H</v>
          </cell>
          <cell r="P85" t="str">
            <v>2H</v>
          </cell>
          <cell r="Q85" t="str">
            <v>2H</v>
          </cell>
          <cell r="R85" t="str">
            <v>2H</v>
          </cell>
          <cell r="S85" t="str">
            <v>2H</v>
          </cell>
          <cell r="T85" t="str">
            <v>2H</v>
          </cell>
          <cell r="U85" t="str">
            <v>2H</v>
          </cell>
          <cell r="V85" t="str">
            <v>2H</v>
          </cell>
          <cell r="W85" t="str">
            <v>H 그룹 2위</v>
          </cell>
          <cell r="X85" t="str">
            <v>2H</v>
          </cell>
          <cell r="Y85" t="str">
            <v>2H</v>
          </cell>
          <cell r="Z85" t="str">
            <v>1Ħ</v>
          </cell>
          <cell r="AA85" t="str">
            <v>2H</v>
          </cell>
          <cell r="AB85" t="str">
            <v>دوم گروه H</v>
          </cell>
          <cell r="AC85" t="str">
            <v>2H</v>
          </cell>
          <cell r="AD85" t="str">
            <v>2H</v>
          </cell>
          <cell r="AE85" t="str">
            <v>2H</v>
          </cell>
          <cell r="AF85" t="str">
            <v>2H</v>
          </cell>
          <cell r="AG85" t="str">
            <v>2H</v>
          </cell>
          <cell r="AH85" t="str">
            <v>2H</v>
          </cell>
          <cell r="AI85" t="str">
            <v>2H</v>
          </cell>
          <cell r="AJ85" t="str">
            <v>2H</v>
          </cell>
          <cell r="AK85" t="str">
            <v>2H</v>
          </cell>
          <cell r="AL85" t="str">
            <v>ที่ 2 สาย H</v>
          </cell>
          <cell r="AM85" t="str">
            <v>H2</v>
          </cell>
          <cell r="AN85" t="str">
            <v>2H</v>
          </cell>
          <cell r="AO85" t="str">
            <v>2H</v>
          </cell>
          <cell r="AP85" t="str">
            <v>۲ح</v>
          </cell>
          <cell r="AQ85" t="str">
            <v>2H</v>
          </cell>
        </row>
        <row r="86">
          <cell r="A86" t="str">
            <v>W49</v>
          </cell>
          <cell r="B86" t="str">
            <v>F49</v>
          </cell>
          <cell r="C86" t="str">
            <v>W49</v>
          </cell>
          <cell r="D86" t="str">
            <v>W49</v>
          </cell>
          <cell r="E86" t="str">
            <v>Q49</v>
          </cell>
          <cell r="F86" t="str">
            <v>W49</v>
          </cell>
          <cell r="G86" t="str">
            <v>G49</v>
          </cell>
          <cell r="H86" t="str">
            <v>49胜者</v>
          </cell>
          <cell r="I86" t="str">
            <v>W49</v>
          </cell>
          <cell r="J86" t="str">
            <v>W49</v>
          </cell>
          <cell r="K86" t="str">
            <v>V49</v>
          </cell>
          <cell r="L86" t="str">
            <v>V49</v>
          </cell>
          <cell r="M86" t="str">
            <v>W49</v>
          </cell>
          <cell r="N86" t="str">
            <v>W49</v>
          </cell>
          <cell r="O86" t="str">
            <v>მ49</v>
          </cell>
          <cell r="P86" t="str">
            <v>W49</v>
          </cell>
          <cell r="Q86" t="str">
            <v>Ν49</v>
          </cell>
          <cell r="R86" t="str">
            <v>W49</v>
          </cell>
          <cell r="S86" t="str">
            <v>GY49</v>
          </cell>
          <cell r="T86" t="str">
            <v>W49</v>
          </cell>
          <cell r="U86" t="str">
            <v>W49</v>
          </cell>
          <cell r="V86" t="str">
            <v>W49</v>
          </cell>
          <cell r="W86" t="str">
            <v>16강전 경기1 승자</v>
          </cell>
          <cell r="X86" t="str">
            <v>L49</v>
          </cell>
          <cell r="Y86" t="str">
            <v>П49</v>
          </cell>
          <cell r="Z86" t="str">
            <v>R49</v>
          </cell>
          <cell r="AA86" t="str">
            <v>V49</v>
          </cell>
          <cell r="AB86" t="str">
            <v>برنده بازی 49</v>
          </cell>
          <cell r="AC86" t="str">
            <v>W49</v>
          </cell>
          <cell r="AD86" t="str">
            <v>W49</v>
          </cell>
          <cell r="AE86" t="str">
            <v>C49</v>
          </cell>
          <cell r="AF86" t="str">
            <v>W49</v>
          </cell>
          <cell r="AG86" t="str">
            <v>P49</v>
          </cell>
          <cell r="AH86" t="str">
            <v>V49</v>
          </cell>
          <cell r="AI86" t="str">
            <v>W49</v>
          </cell>
          <cell r="AJ86" t="str">
            <v>W49</v>
          </cell>
          <cell r="AK86" t="str">
            <v>W49</v>
          </cell>
          <cell r="AL86" t="str">
            <v>ผู้ชนะนัดที่ 49</v>
          </cell>
          <cell r="AM86" t="str">
            <v>G49</v>
          </cell>
          <cell r="AN86" t="str">
            <v>T49</v>
          </cell>
          <cell r="AO86" t="str">
            <v>Переможець 49</v>
          </cell>
          <cell r="AP86" t="str">
            <v>۴۹ جیت</v>
          </cell>
          <cell r="AQ86" t="str">
            <v>W49</v>
          </cell>
        </row>
        <row r="87">
          <cell r="A87" t="str">
            <v>W50</v>
          </cell>
          <cell r="B87" t="str">
            <v>F50</v>
          </cell>
          <cell r="C87" t="str">
            <v>W50</v>
          </cell>
          <cell r="D87" t="str">
            <v>W50</v>
          </cell>
          <cell r="E87" t="str">
            <v>Q50</v>
          </cell>
          <cell r="F87" t="str">
            <v>W50</v>
          </cell>
          <cell r="G87" t="str">
            <v>G50</v>
          </cell>
          <cell r="H87" t="str">
            <v>50胜者</v>
          </cell>
          <cell r="I87" t="str">
            <v>W50</v>
          </cell>
          <cell r="J87" t="str">
            <v>W50</v>
          </cell>
          <cell r="K87" t="str">
            <v>V50</v>
          </cell>
          <cell r="L87" t="str">
            <v>V50</v>
          </cell>
          <cell r="M87" t="str">
            <v>W50</v>
          </cell>
          <cell r="N87" t="str">
            <v>W50</v>
          </cell>
          <cell r="O87" t="str">
            <v>მ50</v>
          </cell>
          <cell r="P87" t="str">
            <v>W50</v>
          </cell>
          <cell r="Q87" t="str">
            <v>Ν50</v>
          </cell>
          <cell r="R87" t="str">
            <v>W50</v>
          </cell>
          <cell r="S87" t="str">
            <v>GY50</v>
          </cell>
          <cell r="T87" t="str">
            <v>W50</v>
          </cell>
          <cell r="U87" t="str">
            <v>W50</v>
          </cell>
          <cell r="V87" t="str">
            <v>W50</v>
          </cell>
          <cell r="W87" t="str">
            <v>16강전 경기2 승자</v>
          </cell>
          <cell r="X87" t="str">
            <v>L50</v>
          </cell>
          <cell r="Y87" t="str">
            <v>П50</v>
          </cell>
          <cell r="Z87" t="str">
            <v>R50</v>
          </cell>
          <cell r="AA87" t="str">
            <v>V50</v>
          </cell>
          <cell r="AB87" t="str">
            <v>برنده بازی 50</v>
          </cell>
          <cell r="AC87" t="str">
            <v>W50</v>
          </cell>
          <cell r="AD87" t="str">
            <v>W50</v>
          </cell>
          <cell r="AE87" t="str">
            <v>C50</v>
          </cell>
          <cell r="AF87" t="str">
            <v>W50</v>
          </cell>
          <cell r="AG87" t="str">
            <v>P50</v>
          </cell>
          <cell r="AH87" t="str">
            <v>V50</v>
          </cell>
          <cell r="AI87" t="str">
            <v>W50</v>
          </cell>
          <cell r="AJ87" t="str">
            <v>W50</v>
          </cell>
          <cell r="AK87" t="str">
            <v>W50</v>
          </cell>
          <cell r="AL87" t="str">
            <v>ผู้ชนะนัดที่ 50</v>
          </cell>
          <cell r="AM87" t="str">
            <v>G50</v>
          </cell>
          <cell r="AN87" t="str">
            <v>T50</v>
          </cell>
          <cell r="AO87" t="str">
            <v>Переможець 50</v>
          </cell>
          <cell r="AP87" t="str">
            <v>۵۰ جیت</v>
          </cell>
          <cell r="AQ87" t="str">
            <v>W50</v>
          </cell>
        </row>
        <row r="88">
          <cell r="A88" t="str">
            <v>W51</v>
          </cell>
          <cell r="B88" t="str">
            <v>F51</v>
          </cell>
          <cell r="C88" t="str">
            <v>W51</v>
          </cell>
          <cell r="D88" t="str">
            <v>W51</v>
          </cell>
          <cell r="E88" t="str">
            <v>Q51</v>
          </cell>
          <cell r="F88" t="str">
            <v>W51</v>
          </cell>
          <cell r="G88" t="str">
            <v>G51</v>
          </cell>
          <cell r="H88" t="str">
            <v>51胜者</v>
          </cell>
          <cell r="I88" t="str">
            <v>W51</v>
          </cell>
          <cell r="J88" t="str">
            <v>W51</v>
          </cell>
          <cell r="K88" t="str">
            <v>V51</v>
          </cell>
          <cell r="L88" t="str">
            <v>V51</v>
          </cell>
          <cell r="M88" t="str">
            <v>W51</v>
          </cell>
          <cell r="N88" t="str">
            <v>W51</v>
          </cell>
          <cell r="O88" t="str">
            <v>მ51</v>
          </cell>
          <cell r="P88" t="str">
            <v>W51</v>
          </cell>
          <cell r="Q88" t="str">
            <v>Ν51</v>
          </cell>
          <cell r="R88" t="str">
            <v>W51</v>
          </cell>
          <cell r="S88" t="str">
            <v>GY51</v>
          </cell>
          <cell r="T88" t="str">
            <v>W51</v>
          </cell>
          <cell r="U88" t="str">
            <v>W51</v>
          </cell>
          <cell r="V88" t="str">
            <v>W51</v>
          </cell>
          <cell r="W88" t="str">
            <v>16강전 경기3 승자</v>
          </cell>
          <cell r="X88" t="str">
            <v>L51</v>
          </cell>
          <cell r="Y88" t="str">
            <v>П51</v>
          </cell>
          <cell r="Z88" t="str">
            <v>R51</v>
          </cell>
          <cell r="AA88" t="str">
            <v>V51</v>
          </cell>
          <cell r="AB88" t="str">
            <v>برنده بازی 51</v>
          </cell>
          <cell r="AC88" t="str">
            <v>W51</v>
          </cell>
          <cell r="AD88" t="str">
            <v>W51</v>
          </cell>
          <cell r="AE88" t="str">
            <v>C51</v>
          </cell>
          <cell r="AF88" t="str">
            <v>W51</v>
          </cell>
          <cell r="AG88" t="str">
            <v>P51</v>
          </cell>
          <cell r="AH88" t="str">
            <v>V51</v>
          </cell>
          <cell r="AI88" t="str">
            <v>W51</v>
          </cell>
          <cell r="AJ88" t="str">
            <v>W51</v>
          </cell>
          <cell r="AK88" t="str">
            <v>W51</v>
          </cell>
          <cell r="AL88" t="str">
            <v>ผู้ชนะนัดที่ 51</v>
          </cell>
          <cell r="AM88" t="str">
            <v>G51</v>
          </cell>
          <cell r="AN88" t="str">
            <v>T51</v>
          </cell>
          <cell r="AO88" t="str">
            <v>Переможець 51</v>
          </cell>
          <cell r="AP88" t="str">
            <v>۵۱ جیت</v>
          </cell>
          <cell r="AQ88" t="str">
            <v>W51</v>
          </cell>
        </row>
        <row r="89">
          <cell r="A89" t="str">
            <v>W52</v>
          </cell>
          <cell r="B89" t="str">
            <v>F52</v>
          </cell>
          <cell r="C89" t="str">
            <v>W52</v>
          </cell>
          <cell r="D89" t="str">
            <v>W52</v>
          </cell>
          <cell r="E89" t="str">
            <v>Q52</v>
          </cell>
          <cell r="F89" t="str">
            <v>W52</v>
          </cell>
          <cell r="G89" t="str">
            <v>G52</v>
          </cell>
          <cell r="H89" t="str">
            <v>52胜者</v>
          </cell>
          <cell r="I89" t="str">
            <v>W52</v>
          </cell>
          <cell r="J89" t="str">
            <v>W52</v>
          </cell>
          <cell r="K89" t="str">
            <v>V52</v>
          </cell>
          <cell r="L89" t="str">
            <v>V52</v>
          </cell>
          <cell r="M89" t="str">
            <v>W52</v>
          </cell>
          <cell r="N89" t="str">
            <v>W52</v>
          </cell>
          <cell r="O89" t="str">
            <v>მ52</v>
          </cell>
          <cell r="P89" t="str">
            <v>W52</v>
          </cell>
          <cell r="Q89" t="str">
            <v>Ν52</v>
          </cell>
          <cell r="R89" t="str">
            <v>W52</v>
          </cell>
          <cell r="S89" t="str">
            <v>GY52</v>
          </cell>
          <cell r="T89" t="str">
            <v>W52</v>
          </cell>
          <cell r="U89" t="str">
            <v>W52</v>
          </cell>
          <cell r="V89" t="str">
            <v>W52</v>
          </cell>
          <cell r="W89" t="str">
            <v>16강전 경기4 승자</v>
          </cell>
          <cell r="X89" t="str">
            <v>L52</v>
          </cell>
          <cell r="Y89" t="str">
            <v>П52</v>
          </cell>
          <cell r="Z89" t="str">
            <v>R52</v>
          </cell>
          <cell r="AA89" t="str">
            <v>V52</v>
          </cell>
          <cell r="AB89" t="str">
            <v>برنده بازی 52</v>
          </cell>
          <cell r="AC89" t="str">
            <v>W52</v>
          </cell>
          <cell r="AD89" t="str">
            <v>W52</v>
          </cell>
          <cell r="AE89" t="str">
            <v>C52</v>
          </cell>
          <cell r="AF89" t="str">
            <v>W52</v>
          </cell>
          <cell r="AG89" t="str">
            <v>P52</v>
          </cell>
          <cell r="AH89" t="str">
            <v>V52</v>
          </cell>
          <cell r="AI89" t="str">
            <v>W52</v>
          </cell>
          <cell r="AJ89" t="str">
            <v>W52</v>
          </cell>
          <cell r="AK89" t="str">
            <v>W52</v>
          </cell>
          <cell r="AL89" t="str">
            <v>ผู้ชนะนัดที่ 52</v>
          </cell>
          <cell r="AM89" t="str">
            <v>G52</v>
          </cell>
          <cell r="AN89" t="str">
            <v>T52</v>
          </cell>
          <cell r="AO89" t="str">
            <v>Переможець 52</v>
          </cell>
          <cell r="AP89" t="str">
            <v>۵۲ جیت</v>
          </cell>
          <cell r="AQ89" t="str">
            <v>W52</v>
          </cell>
        </row>
        <row r="90">
          <cell r="A90" t="str">
            <v>W53</v>
          </cell>
          <cell r="B90" t="str">
            <v>F53</v>
          </cell>
          <cell r="C90" t="str">
            <v>W53</v>
          </cell>
          <cell r="D90" t="str">
            <v>W53</v>
          </cell>
          <cell r="E90" t="str">
            <v>Q53</v>
          </cell>
          <cell r="F90" t="str">
            <v>W53</v>
          </cell>
          <cell r="G90" t="str">
            <v>G53</v>
          </cell>
          <cell r="H90" t="str">
            <v>53胜者</v>
          </cell>
          <cell r="I90" t="str">
            <v>W53</v>
          </cell>
          <cell r="J90" t="str">
            <v>W53</v>
          </cell>
          <cell r="K90" t="str">
            <v>V53</v>
          </cell>
          <cell r="L90" t="str">
            <v>V53</v>
          </cell>
          <cell r="M90" t="str">
            <v>W53</v>
          </cell>
          <cell r="N90" t="str">
            <v>W53</v>
          </cell>
          <cell r="O90" t="str">
            <v>მ53</v>
          </cell>
          <cell r="P90" t="str">
            <v>W53</v>
          </cell>
          <cell r="Q90" t="str">
            <v>Ν53</v>
          </cell>
          <cell r="R90" t="str">
            <v>W53</v>
          </cell>
          <cell r="S90" t="str">
            <v>GY53</v>
          </cell>
          <cell r="T90" t="str">
            <v>W53</v>
          </cell>
          <cell r="U90" t="str">
            <v>W53</v>
          </cell>
          <cell r="V90" t="str">
            <v>W53</v>
          </cell>
          <cell r="W90" t="str">
            <v>16강전 경기5 승자</v>
          </cell>
          <cell r="X90" t="str">
            <v>L53</v>
          </cell>
          <cell r="Y90" t="str">
            <v>П53</v>
          </cell>
          <cell r="Z90" t="str">
            <v>R53</v>
          </cell>
          <cell r="AA90" t="str">
            <v>V53</v>
          </cell>
          <cell r="AB90" t="str">
            <v>برنده بازی 53</v>
          </cell>
          <cell r="AC90" t="str">
            <v>W53</v>
          </cell>
          <cell r="AD90" t="str">
            <v>W53</v>
          </cell>
          <cell r="AE90" t="str">
            <v>C53</v>
          </cell>
          <cell r="AF90" t="str">
            <v>W53</v>
          </cell>
          <cell r="AG90" t="str">
            <v>P53</v>
          </cell>
          <cell r="AH90" t="str">
            <v>V53</v>
          </cell>
          <cell r="AI90" t="str">
            <v>W53</v>
          </cell>
          <cell r="AJ90" t="str">
            <v>W53</v>
          </cell>
          <cell r="AK90" t="str">
            <v>W53</v>
          </cell>
          <cell r="AL90" t="str">
            <v>ผู้ชนะนัดที่ 53</v>
          </cell>
          <cell r="AM90" t="str">
            <v>G53</v>
          </cell>
          <cell r="AN90" t="str">
            <v>T53</v>
          </cell>
          <cell r="AO90" t="str">
            <v>Переможець 53</v>
          </cell>
          <cell r="AP90" t="str">
            <v>۵۳ جیت</v>
          </cell>
          <cell r="AQ90" t="str">
            <v>W53</v>
          </cell>
        </row>
        <row r="91">
          <cell r="A91" t="str">
            <v>W54</v>
          </cell>
          <cell r="B91" t="str">
            <v>F54</v>
          </cell>
          <cell r="C91" t="str">
            <v>W54</v>
          </cell>
          <cell r="D91" t="str">
            <v>W54</v>
          </cell>
          <cell r="E91" t="str">
            <v>Q54</v>
          </cell>
          <cell r="F91" t="str">
            <v>W54</v>
          </cell>
          <cell r="G91" t="str">
            <v>G54</v>
          </cell>
          <cell r="H91" t="str">
            <v>54胜者</v>
          </cell>
          <cell r="I91" t="str">
            <v>W54</v>
          </cell>
          <cell r="J91" t="str">
            <v>W54</v>
          </cell>
          <cell r="K91" t="str">
            <v>V54</v>
          </cell>
          <cell r="L91" t="str">
            <v>V54</v>
          </cell>
          <cell r="M91" t="str">
            <v>W54</v>
          </cell>
          <cell r="N91" t="str">
            <v>W54</v>
          </cell>
          <cell r="O91" t="str">
            <v>მ54</v>
          </cell>
          <cell r="P91" t="str">
            <v>W54</v>
          </cell>
          <cell r="Q91" t="str">
            <v>Ν54</v>
          </cell>
          <cell r="R91" t="str">
            <v>W54</v>
          </cell>
          <cell r="S91" t="str">
            <v>GY54</v>
          </cell>
          <cell r="T91" t="str">
            <v>W54</v>
          </cell>
          <cell r="U91" t="str">
            <v>W54</v>
          </cell>
          <cell r="V91" t="str">
            <v>W54</v>
          </cell>
          <cell r="W91" t="str">
            <v>16강전 경기6 승자</v>
          </cell>
          <cell r="X91" t="str">
            <v>L54</v>
          </cell>
          <cell r="Y91" t="str">
            <v>П54</v>
          </cell>
          <cell r="Z91" t="str">
            <v>R54</v>
          </cell>
          <cell r="AA91" t="str">
            <v>V54</v>
          </cell>
          <cell r="AB91" t="str">
            <v>برنده بازی 54</v>
          </cell>
          <cell r="AC91" t="str">
            <v>W54</v>
          </cell>
          <cell r="AD91" t="str">
            <v>W54</v>
          </cell>
          <cell r="AE91" t="str">
            <v>C54</v>
          </cell>
          <cell r="AF91" t="str">
            <v>W54</v>
          </cell>
          <cell r="AG91" t="str">
            <v>P54</v>
          </cell>
          <cell r="AH91" t="str">
            <v>V54</v>
          </cell>
          <cell r="AI91" t="str">
            <v>W54</v>
          </cell>
          <cell r="AJ91" t="str">
            <v>W54</v>
          </cell>
          <cell r="AK91" t="str">
            <v>W54</v>
          </cell>
          <cell r="AL91" t="str">
            <v>ผู้ชนะนัดที่ 54</v>
          </cell>
          <cell r="AM91" t="str">
            <v>G54</v>
          </cell>
          <cell r="AN91" t="str">
            <v>T54</v>
          </cell>
          <cell r="AO91" t="str">
            <v>Переможець 54</v>
          </cell>
          <cell r="AP91" t="str">
            <v>۵۴ جیت</v>
          </cell>
          <cell r="AQ91" t="str">
            <v>W54</v>
          </cell>
        </row>
        <row r="92">
          <cell r="A92" t="str">
            <v>W55</v>
          </cell>
          <cell r="B92" t="str">
            <v>F55</v>
          </cell>
          <cell r="C92" t="str">
            <v>W55</v>
          </cell>
          <cell r="D92" t="str">
            <v>W55</v>
          </cell>
          <cell r="E92" t="str">
            <v>Q55</v>
          </cell>
          <cell r="F92" t="str">
            <v>W55</v>
          </cell>
          <cell r="G92" t="str">
            <v>G55</v>
          </cell>
          <cell r="H92" t="str">
            <v>55胜者</v>
          </cell>
          <cell r="I92" t="str">
            <v>W55</v>
          </cell>
          <cell r="J92" t="str">
            <v>W55</v>
          </cell>
          <cell r="K92" t="str">
            <v>V55</v>
          </cell>
          <cell r="L92" t="str">
            <v>V55</v>
          </cell>
          <cell r="M92" t="str">
            <v>W55</v>
          </cell>
          <cell r="N92" t="str">
            <v>W55</v>
          </cell>
          <cell r="O92" t="str">
            <v>მ55</v>
          </cell>
          <cell r="P92" t="str">
            <v>W55</v>
          </cell>
          <cell r="Q92" t="str">
            <v>Ν55</v>
          </cell>
          <cell r="R92" t="str">
            <v>W55</v>
          </cell>
          <cell r="S92" t="str">
            <v>GY55</v>
          </cell>
          <cell r="T92" t="str">
            <v>W55</v>
          </cell>
          <cell r="U92" t="str">
            <v>W55</v>
          </cell>
          <cell r="V92" t="str">
            <v>W55</v>
          </cell>
          <cell r="W92" t="str">
            <v>16강전 경기7 승자</v>
          </cell>
          <cell r="X92" t="str">
            <v>L55</v>
          </cell>
          <cell r="Y92" t="str">
            <v>П55</v>
          </cell>
          <cell r="Z92" t="str">
            <v>R55</v>
          </cell>
          <cell r="AA92" t="str">
            <v>V55</v>
          </cell>
          <cell r="AB92" t="str">
            <v>برنده بازی 55</v>
          </cell>
          <cell r="AC92" t="str">
            <v>W55</v>
          </cell>
          <cell r="AD92" t="str">
            <v>W55</v>
          </cell>
          <cell r="AE92" t="str">
            <v>C55</v>
          </cell>
          <cell r="AF92" t="str">
            <v>W55</v>
          </cell>
          <cell r="AG92" t="str">
            <v>P55</v>
          </cell>
          <cell r="AH92" t="str">
            <v>V55</v>
          </cell>
          <cell r="AI92" t="str">
            <v>W55</v>
          </cell>
          <cell r="AJ92" t="str">
            <v>W55</v>
          </cell>
          <cell r="AK92" t="str">
            <v>W55</v>
          </cell>
          <cell r="AL92" t="str">
            <v>ผู้ชนะนัดที่ 55</v>
          </cell>
          <cell r="AM92" t="str">
            <v>G55</v>
          </cell>
          <cell r="AN92" t="str">
            <v>T55</v>
          </cell>
          <cell r="AO92" t="str">
            <v>Переможець 55</v>
          </cell>
          <cell r="AP92" t="str">
            <v>۵۵ جیت</v>
          </cell>
          <cell r="AQ92" t="str">
            <v>W55</v>
          </cell>
        </row>
        <row r="93">
          <cell r="A93" t="str">
            <v>W56</v>
          </cell>
          <cell r="B93" t="str">
            <v>F56</v>
          </cell>
          <cell r="C93" t="str">
            <v>W56</v>
          </cell>
          <cell r="D93" t="str">
            <v>W56</v>
          </cell>
          <cell r="E93" t="str">
            <v>Q56</v>
          </cell>
          <cell r="F93" t="str">
            <v>W56</v>
          </cell>
          <cell r="G93" t="str">
            <v>G56</v>
          </cell>
          <cell r="H93" t="str">
            <v>56胜者</v>
          </cell>
          <cell r="I93" t="str">
            <v>W56</v>
          </cell>
          <cell r="J93" t="str">
            <v>W56</v>
          </cell>
          <cell r="K93" t="str">
            <v>V56</v>
          </cell>
          <cell r="L93" t="str">
            <v>V56</v>
          </cell>
          <cell r="M93" t="str">
            <v>W56</v>
          </cell>
          <cell r="N93" t="str">
            <v>W56</v>
          </cell>
          <cell r="O93" t="str">
            <v>მ56</v>
          </cell>
          <cell r="P93" t="str">
            <v>W56</v>
          </cell>
          <cell r="Q93" t="str">
            <v>Ν56</v>
          </cell>
          <cell r="R93" t="str">
            <v>W56</v>
          </cell>
          <cell r="S93" t="str">
            <v>GY56</v>
          </cell>
          <cell r="T93" t="str">
            <v>W56</v>
          </cell>
          <cell r="U93" t="str">
            <v>W56</v>
          </cell>
          <cell r="V93" t="str">
            <v>W56</v>
          </cell>
          <cell r="W93" t="str">
            <v>16강전 경기8 승자</v>
          </cell>
          <cell r="X93" t="str">
            <v>L56</v>
          </cell>
          <cell r="Y93" t="str">
            <v>П56</v>
          </cell>
          <cell r="Z93" t="str">
            <v>R56</v>
          </cell>
          <cell r="AA93" t="str">
            <v>V56</v>
          </cell>
          <cell r="AB93" t="str">
            <v>برنده بازی 56</v>
          </cell>
          <cell r="AC93" t="str">
            <v>W56</v>
          </cell>
          <cell r="AD93" t="str">
            <v>W56</v>
          </cell>
          <cell r="AE93" t="str">
            <v>C56</v>
          </cell>
          <cell r="AF93" t="str">
            <v>W56</v>
          </cell>
          <cell r="AG93" t="str">
            <v>P56</v>
          </cell>
          <cell r="AH93" t="str">
            <v>V56</v>
          </cell>
          <cell r="AI93" t="str">
            <v>W56</v>
          </cell>
          <cell r="AJ93" t="str">
            <v>W56</v>
          </cell>
          <cell r="AK93" t="str">
            <v>W56</v>
          </cell>
          <cell r="AL93" t="str">
            <v>ผู้ชนะนัดที่ 56</v>
          </cell>
          <cell r="AM93" t="str">
            <v>G56</v>
          </cell>
          <cell r="AN93" t="str">
            <v>T56</v>
          </cell>
          <cell r="AO93" t="str">
            <v>Переможець 56</v>
          </cell>
          <cell r="AP93" t="str">
            <v>۵۶ جیت</v>
          </cell>
          <cell r="AQ93" t="str">
            <v>W56</v>
          </cell>
        </row>
        <row r="94">
          <cell r="A94" t="str">
            <v>W57</v>
          </cell>
          <cell r="B94" t="str">
            <v>F57</v>
          </cell>
          <cell r="C94" t="str">
            <v>W57</v>
          </cell>
          <cell r="D94" t="str">
            <v>W57</v>
          </cell>
          <cell r="E94" t="str">
            <v>Q57</v>
          </cell>
          <cell r="F94" t="str">
            <v>W57</v>
          </cell>
          <cell r="G94" t="str">
            <v>G57</v>
          </cell>
          <cell r="H94" t="str">
            <v>57胜者</v>
          </cell>
          <cell r="I94" t="str">
            <v>W57</v>
          </cell>
          <cell r="J94" t="str">
            <v>W57</v>
          </cell>
          <cell r="K94" t="str">
            <v>V57</v>
          </cell>
          <cell r="L94" t="str">
            <v>V57</v>
          </cell>
          <cell r="M94" t="str">
            <v>W57</v>
          </cell>
          <cell r="N94" t="str">
            <v>W57</v>
          </cell>
          <cell r="O94" t="str">
            <v>მ57</v>
          </cell>
          <cell r="P94" t="str">
            <v>W57</v>
          </cell>
          <cell r="Q94" t="str">
            <v>Ν57</v>
          </cell>
          <cell r="R94" t="str">
            <v>W57</v>
          </cell>
          <cell r="S94" t="str">
            <v>GY57</v>
          </cell>
          <cell r="T94" t="str">
            <v>W57</v>
          </cell>
          <cell r="U94" t="str">
            <v>W57</v>
          </cell>
          <cell r="V94" t="str">
            <v>W57</v>
          </cell>
          <cell r="W94" t="str">
            <v>8강전 경기1 승자</v>
          </cell>
          <cell r="X94" t="str">
            <v>L57</v>
          </cell>
          <cell r="Y94" t="str">
            <v>П57</v>
          </cell>
          <cell r="Z94" t="str">
            <v>R57</v>
          </cell>
          <cell r="AA94" t="str">
            <v>V57</v>
          </cell>
          <cell r="AB94" t="str">
            <v>برنده بازی 57</v>
          </cell>
          <cell r="AC94" t="str">
            <v>W57</v>
          </cell>
          <cell r="AD94" t="str">
            <v>W57</v>
          </cell>
          <cell r="AE94" t="str">
            <v>C57</v>
          </cell>
          <cell r="AF94" t="str">
            <v>W57</v>
          </cell>
          <cell r="AG94" t="str">
            <v>P57</v>
          </cell>
          <cell r="AH94" t="str">
            <v>V57</v>
          </cell>
          <cell r="AI94" t="str">
            <v>W57</v>
          </cell>
          <cell r="AJ94" t="str">
            <v>W57</v>
          </cell>
          <cell r="AK94" t="str">
            <v>W57</v>
          </cell>
          <cell r="AL94" t="str">
            <v>ผู้ชนะนัดที่ 57</v>
          </cell>
          <cell r="AM94" t="str">
            <v>G57</v>
          </cell>
          <cell r="AN94" t="str">
            <v>T57</v>
          </cell>
          <cell r="AO94" t="str">
            <v>Переможець 57</v>
          </cell>
          <cell r="AP94" t="str">
            <v>۵۷ جیت</v>
          </cell>
          <cell r="AQ94" t="str">
            <v>W57</v>
          </cell>
        </row>
        <row r="95">
          <cell r="A95" t="str">
            <v>W58</v>
          </cell>
          <cell r="B95" t="str">
            <v>F58</v>
          </cell>
          <cell r="C95" t="str">
            <v>W58</v>
          </cell>
          <cell r="D95" t="str">
            <v>W58</v>
          </cell>
          <cell r="E95" t="str">
            <v>Q58</v>
          </cell>
          <cell r="F95" t="str">
            <v>W58</v>
          </cell>
          <cell r="G95" t="str">
            <v>G58</v>
          </cell>
          <cell r="H95" t="str">
            <v>58胜者</v>
          </cell>
          <cell r="I95" t="str">
            <v>W58</v>
          </cell>
          <cell r="J95" t="str">
            <v>W58</v>
          </cell>
          <cell r="K95" t="str">
            <v>V58</v>
          </cell>
          <cell r="L95" t="str">
            <v>V58</v>
          </cell>
          <cell r="M95" t="str">
            <v>W58</v>
          </cell>
          <cell r="N95" t="str">
            <v>W58</v>
          </cell>
          <cell r="O95" t="str">
            <v>მ58</v>
          </cell>
          <cell r="P95" t="str">
            <v>W58</v>
          </cell>
          <cell r="Q95" t="str">
            <v>Ν58</v>
          </cell>
          <cell r="R95" t="str">
            <v>W58</v>
          </cell>
          <cell r="S95" t="str">
            <v>GY58</v>
          </cell>
          <cell r="T95" t="str">
            <v>W58</v>
          </cell>
          <cell r="U95" t="str">
            <v>W58</v>
          </cell>
          <cell r="V95" t="str">
            <v>W58</v>
          </cell>
          <cell r="W95" t="str">
            <v>8강전 경기2 승자</v>
          </cell>
          <cell r="X95" t="str">
            <v>L58</v>
          </cell>
          <cell r="Y95" t="str">
            <v>П58</v>
          </cell>
          <cell r="Z95" t="str">
            <v>R58</v>
          </cell>
          <cell r="AA95" t="str">
            <v>V58</v>
          </cell>
          <cell r="AB95" t="str">
            <v>برنده بازی 58</v>
          </cell>
          <cell r="AC95" t="str">
            <v>W58</v>
          </cell>
          <cell r="AD95" t="str">
            <v>W58</v>
          </cell>
          <cell r="AE95" t="str">
            <v>C58</v>
          </cell>
          <cell r="AF95" t="str">
            <v>W58</v>
          </cell>
          <cell r="AG95" t="str">
            <v>P58</v>
          </cell>
          <cell r="AH95" t="str">
            <v>V58</v>
          </cell>
          <cell r="AI95" t="str">
            <v>W58</v>
          </cell>
          <cell r="AJ95" t="str">
            <v>W58</v>
          </cell>
          <cell r="AK95" t="str">
            <v>W58</v>
          </cell>
          <cell r="AL95" t="str">
            <v>ผู้ชนะนัดที่ 58</v>
          </cell>
          <cell r="AM95" t="str">
            <v>G58</v>
          </cell>
          <cell r="AN95" t="str">
            <v>T58</v>
          </cell>
          <cell r="AO95" t="str">
            <v>Переможець 58</v>
          </cell>
          <cell r="AP95" t="str">
            <v>۵۸ جیت</v>
          </cell>
          <cell r="AQ95" t="str">
            <v>W58</v>
          </cell>
        </row>
        <row r="96">
          <cell r="A96" t="str">
            <v>W59</v>
          </cell>
          <cell r="B96" t="str">
            <v>F59</v>
          </cell>
          <cell r="C96" t="str">
            <v>W59</v>
          </cell>
          <cell r="D96" t="str">
            <v>W59</v>
          </cell>
          <cell r="E96" t="str">
            <v>Q59</v>
          </cell>
          <cell r="F96" t="str">
            <v>W59</v>
          </cell>
          <cell r="G96" t="str">
            <v>G59</v>
          </cell>
          <cell r="H96" t="str">
            <v>59胜者</v>
          </cell>
          <cell r="I96" t="str">
            <v>W59</v>
          </cell>
          <cell r="J96" t="str">
            <v>W59</v>
          </cell>
          <cell r="K96" t="str">
            <v>V59</v>
          </cell>
          <cell r="L96" t="str">
            <v>V59</v>
          </cell>
          <cell r="M96" t="str">
            <v>W59</v>
          </cell>
          <cell r="N96" t="str">
            <v>W59</v>
          </cell>
          <cell r="O96" t="str">
            <v>მ59</v>
          </cell>
          <cell r="P96" t="str">
            <v>W59</v>
          </cell>
          <cell r="Q96" t="str">
            <v>Ν59</v>
          </cell>
          <cell r="R96" t="str">
            <v>W59</v>
          </cell>
          <cell r="S96" t="str">
            <v>GY59</v>
          </cell>
          <cell r="T96" t="str">
            <v>W59</v>
          </cell>
          <cell r="U96" t="str">
            <v>W59</v>
          </cell>
          <cell r="V96" t="str">
            <v>W59</v>
          </cell>
          <cell r="W96" t="str">
            <v>8강전 경기3 승자</v>
          </cell>
          <cell r="X96" t="str">
            <v>L59</v>
          </cell>
          <cell r="Y96" t="str">
            <v>П59</v>
          </cell>
          <cell r="Z96" t="str">
            <v>R59</v>
          </cell>
          <cell r="AA96" t="str">
            <v>V59</v>
          </cell>
          <cell r="AB96" t="str">
            <v>برنده بازی 59</v>
          </cell>
          <cell r="AC96" t="str">
            <v>W59</v>
          </cell>
          <cell r="AD96" t="str">
            <v>W59</v>
          </cell>
          <cell r="AE96" t="str">
            <v>C59</v>
          </cell>
          <cell r="AF96" t="str">
            <v>W59</v>
          </cell>
          <cell r="AG96" t="str">
            <v>P59</v>
          </cell>
          <cell r="AH96" t="str">
            <v>V59</v>
          </cell>
          <cell r="AI96" t="str">
            <v>W59</v>
          </cell>
          <cell r="AJ96" t="str">
            <v>W59</v>
          </cell>
          <cell r="AK96" t="str">
            <v>W59</v>
          </cell>
          <cell r="AL96" t="str">
            <v>ผู้ชนะนัดที่ 59</v>
          </cell>
          <cell r="AM96" t="str">
            <v>G59</v>
          </cell>
          <cell r="AN96" t="str">
            <v>T59</v>
          </cell>
          <cell r="AO96" t="str">
            <v>Переможець 59</v>
          </cell>
          <cell r="AP96" t="str">
            <v>۵۹ جیت</v>
          </cell>
          <cell r="AQ96" t="str">
            <v>W59</v>
          </cell>
        </row>
        <row r="97">
          <cell r="A97" t="str">
            <v>W60</v>
          </cell>
          <cell r="B97" t="str">
            <v>F60</v>
          </cell>
          <cell r="C97" t="str">
            <v>W60</v>
          </cell>
          <cell r="D97" t="str">
            <v>W60</v>
          </cell>
          <cell r="E97" t="str">
            <v>Q60</v>
          </cell>
          <cell r="F97" t="str">
            <v>W60</v>
          </cell>
          <cell r="G97" t="str">
            <v>G60</v>
          </cell>
          <cell r="H97" t="str">
            <v>60胜者</v>
          </cell>
          <cell r="I97" t="str">
            <v>W60</v>
          </cell>
          <cell r="J97" t="str">
            <v>W60</v>
          </cell>
          <cell r="K97" t="str">
            <v>V60</v>
          </cell>
          <cell r="L97" t="str">
            <v>V60</v>
          </cell>
          <cell r="M97" t="str">
            <v>W60</v>
          </cell>
          <cell r="N97" t="str">
            <v>W60</v>
          </cell>
          <cell r="O97" t="str">
            <v>მ60</v>
          </cell>
          <cell r="P97" t="str">
            <v>W60</v>
          </cell>
          <cell r="Q97" t="str">
            <v>Ν60</v>
          </cell>
          <cell r="R97" t="str">
            <v>W60</v>
          </cell>
          <cell r="S97" t="str">
            <v>GY60</v>
          </cell>
          <cell r="T97" t="str">
            <v>W60</v>
          </cell>
          <cell r="U97" t="str">
            <v>W60</v>
          </cell>
          <cell r="V97" t="str">
            <v>W60</v>
          </cell>
          <cell r="W97" t="str">
            <v>8강전 경기4 승자</v>
          </cell>
          <cell r="X97" t="str">
            <v>L60</v>
          </cell>
          <cell r="Y97" t="str">
            <v>П60</v>
          </cell>
          <cell r="Z97" t="str">
            <v>R60</v>
          </cell>
          <cell r="AA97" t="str">
            <v>V60</v>
          </cell>
          <cell r="AB97" t="str">
            <v>برنده بازی 60</v>
          </cell>
          <cell r="AC97" t="str">
            <v>W60</v>
          </cell>
          <cell r="AD97" t="str">
            <v>W60</v>
          </cell>
          <cell r="AE97" t="str">
            <v>C60</v>
          </cell>
          <cell r="AF97" t="str">
            <v>W60</v>
          </cell>
          <cell r="AG97" t="str">
            <v>P60</v>
          </cell>
          <cell r="AH97" t="str">
            <v>V60</v>
          </cell>
          <cell r="AI97" t="str">
            <v>W60</v>
          </cell>
          <cell r="AJ97" t="str">
            <v>W60</v>
          </cell>
          <cell r="AK97" t="str">
            <v>W60</v>
          </cell>
          <cell r="AL97" t="str">
            <v>ผู้ชนะนัดที่ 60</v>
          </cell>
          <cell r="AM97" t="str">
            <v>G60</v>
          </cell>
          <cell r="AN97" t="str">
            <v>T60</v>
          </cell>
          <cell r="AO97" t="str">
            <v>Переможець 60</v>
          </cell>
          <cell r="AP97" t="str">
            <v>۶۰ جیت</v>
          </cell>
          <cell r="AQ97" t="str">
            <v>W60</v>
          </cell>
        </row>
        <row r="98">
          <cell r="A98" t="str">
            <v>W61</v>
          </cell>
          <cell r="B98" t="str">
            <v>F61</v>
          </cell>
          <cell r="C98" t="str">
            <v>W61</v>
          </cell>
          <cell r="D98" t="str">
            <v>W61</v>
          </cell>
          <cell r="E98" t="str">
            <v>Q61</v>
          </cell>
          <cell r="F98" t="str">
            <v>W61</v>
          </cell>
          <cell r="G98" t="str">
            <v>G61</v>
          </cell>
          <cell r="H98" t="str">
            <v>61胜者</v>
          </cell>
          <cell r="I98" t="str">
            <v>W61</v>
          </cell>
          <cell r="J98" t="str">
            <v>W61</v>
          </cell>
          <cell r="K98" t="str">
            <v>V61</v>
          </cell>
          <cell r="L98" t="str">
            <v>V61</v>
          </cell>
          <cell r="M98" t="str">
            <v>W61</v>
          </cell>
          <cell r="N98" t="str">
            <v>W61</v>
          </cell>
          <cell r="O98" t="str">
            <v>მ61</v>
          </cell>
          <cell r="P98" t="str">
            <v>W61</v>
          </cell>
          <cell r="Q98" t="str">
            <v>Ν61</v>
          </cell>
          <cell r="R98" t="str">
            <v>W61</v>
          </cell>
          <cell r="S98" t="str">
            <v>GY61</v>
          </cell>
          <cell r="T98" t="str">
            <v>W61</v>
          </cell>
          <cell r="U98" t="str">
            <v>W61</v>
          </cell>
          <cell r="V98" t="str">
            <v>W61</v>
          </cell>
          <cell r="W98" t="str">
            <v>준결승 경기1 승자</v>
          </cell>
          <cell r="X98" t="str">
            <v>L61</v>
          </cell>
          <cell r="Y98" t="str">
            <v>П61</v>
          </cell>
          <cell r="Z98" t="str">
            <v>R61</v>
          </cell>
          <cell r="AA98" t="str">
            <v>V61</v>
          </cell>
          <cell r="AB98" t="str">
            <v>برنده بازی 61</v>
          </cell>
          <cell r="AC98" t="str">
            <v>W61</v>
          </cell>
          <cell r="AD98" t="str">
            <v>W61</v>
          </cell>
          <cell r="AE98" t="str">
            <v>C61</v>
          </cell>
          <cell r="AF98" t="str">
            <v>W61</v>
          </cell>
          <cell r="AG98" t="str">
            <v>P61</v>
          </cell>
          <cell r="AH98" t="str">
            <v>V61</v>
          </cell>
          <cell r="AI98" t="str">
            <v>W61</v>
          </cell>
          <cell r="AJ98" t="str">
            <v>W61</v>
          </cell>
          <cell r="AK98" t="str">
            <v>W61</v>
          </cell>
          <cell r="AL98" t="str">
            <v>ผู้ชนะนัดที่ 61</v>
          </cell>
          <cell r="AM98" t="str">
            <v>G61</v>
          </cell>
          <cell r="AN98" t="str">
            <v>T61</v>
          </cell>
          <cell r="AO98" t="str">
            <v>Переможець 61</v>
          </cell>
          <cell r="AP98" t="str">
            <v>۶۱ جیت</v>
          </cell>
          <cell r="AQ98" t="str">
            <v>W61</v>
          </cell>
        </row>
        <row r="99">
          <cell r="A99" t="str">
            <v>W62</v>
          </cell>
          <cell r="B99" t="str">
            <v>F62</v>
          </cell>
          <cell r="C99" t="str">
            <v>W62</v>
          </cell>
          <cell r="D99" t="str">
            <v>W62</v>
          </cell>
          <cell r="E99" t="str">
            <v>Q62</v>
          </cell>
          <cell r="F99" t="str">
            <v>W62</v>
          </cell>
          <cell r="G99" t="str">
            <v>G62</v>
          </cell>
          <cell r="H99" t="str">
            <v>62胜者</v>
          </cell>
          <cell r="I99" t="str">
            <v>W62</v>
          </cell>
          <cell r="J99" t="str">
            <v>W62</v>
          </cell>
          <cell r="K99" t="str">
            <v>V62</v>
          </cell>
          <cell r="L99" t="str">
            <v>V62</v>
          </cell>
          <cell r="M99" t="str">
            <v>W62</v>
          </cell>
          <cell r="N99" t="str">
            <v>W62</v>
          </cell>
          <cell r="O99" t="str">
            <v>მ62</v>
          </cell>
          <cell r="P99" t="str">
            <v>W62</v>
          </cell>
          <cell r="Q99" t="str">
            <v>Ν62</v>
          </cell>
          <cell r="R99" t="str">
            <v>W62</v>
          </cell>
          <cell r="S99" t="str">
            <v>GY62</v>
          </cell>
          <cell r="T99" t="str">
            <v>W62</v>
          </cell>
          <cell r="U99" t="str">
            <v>W62</v>
          </cell>
          <cell r="V99" t="str">
            <v>W62</v>
          </cell>
          <cell r="W99" t="str">
            <v>준결승 경기2 승자</v>
          </cell>
          <cell r="X99" t="str">
            <v>L62</v>
          </cell>
          <cell r="Y99" t="str">
            <v>П62</v>
          </cell>
          <cell r="Z99" t="str">
            <v>R62</v>
          </cell>
          <cell r="AA99" t="str">
            <v>V62</v>
          </cell>
          <cell r="AB99" t="str">
            <v>برنده بازی 62</v>
          </cell>
          <cell r="AC99" t="str">
            <v>W62</v>
          </cell>
          <cell r="AD99" t="str">
            <v>W62</v>
          </cell>
          <cell r="AE99" t="str">
            <v>C62</v>
          </cell>
          <cell r="AF99" t="str">
            <v>W62</v>
          </cell>
          <cell r="AG99" t="str">
            <v>P62</v>
          </cell>
          <cell r="AH99" t="str">
            <v>V62</v>
          </cell>
          <cell r="AI99" t="str">
            <v>W62</v>
          </cell>
          <cell r="AJ99" t="str">
            <v>W62</v>
          </cell>
          <cell r="AK99" t="str">
            <v>W62</v>
          </cell>
          <cell r="AL99" t="str">
            <v>ผู้ชนะนัดที่ 62</v>
          </cell>
          <cell r="AM99" t="str">
            <v>G62</v>
          </cell>
          <cell r="AN99" t="str">
            <v>T62</v>
          </cell>
          <cell r="AO99" t="str">
            <v>Переможець 62</v>
          </cell>
          <cell r="AP99" t="str">
            <v>۶۲ جیت</v>
          </cell>
          <cell r="AQ99" t="str">
            <v>W62</v>
          </cell>
        </row>
        <row r="100">
          <cell r="A100" t="str">
            <v>L61</v>
          </cell>
          <cell r="B100" t="str">
            <v>H61</v>
          </cell>
          <cell r="C100" t="str">
            <v>L61</v>
          </cell>
          <cell r="D100" t="str">
            <v>L61</v>
          </cell>
          <cell r="E100" t="str">
            <v>M61</v>
          </cell>
          <cell r="F100" t="str">
            <v>L61</v>
          </cell>
          <cell r="G100" t="str">
            <v>P61</v>
          </cell>
          <cell r="H100" t="str">
            <v>61负者</v>
          </cell>
          <cell r="I100" t="str">
            <v>L61</v>
          </cell>
          <cell r="J100" t="str">
            <v>L61</v>
          </cell>
          <cell r="K100" t="str">
            <v>P61</v>
          </cell>
          <cell r="L100" t="str">
            <v>T61</v>
          </cell>
          <cell r="M100" t="str">
            <v>V61</v>
          </cell>
          <cell r="N100" t="str">
            <v>L61</v>
          </cell>
          <cell r="O100" t="str">
            <v>წ61</v>
          </cell>
          <cell r="P100" t="str">
            <v>L61</v>
          </cell>
          <cell r="Q100" t="str">
            <v>Η61</v>
          </cell>
          <cell r="R100" t="str">
            <v>L61</v>
          </cell>
          <cell r="S100" t="str">
            <v>V61</v>
          </cell>
          <cell r="T100" t="str">
            <v>L61</v>
          </cell>
          <cell r="U100" t="str">
            <v>L61</v>
          </cell>
          <cell r="V100" t="str">
            <v>L61</v>
          </cell>
          <cell r="W100" t="str">
            <v>준결승 경기1 패자</v>
          </cell>
          <cell r="X100" t="str">
            <v>P61</v>
          </cell>
          <cell r="Y100" t="str">
            <v>И61</v>
          </cell>
          <cell r="Z100" t="str">
            <v>T61</v>
          </cell>
          <cell r="AA100" t="str">
            <v>T61</v>
          </cell>
          <cell r="AB100" t="str">
            <v>بازنده بازی 61</v>
          </cell>
          <cell r="AC100" t="str">
            <v>L61</v>
          </cell>
          <cell r="AD100" t="str">
            <v>L61</v>
          </cell>
          <cell r="AE100" t="str">
            <v>P61</v>
          </cell>
          <cell r="AF100" t="str">
            <v>L61</v>
          </cell>
          <cell r="AG100" t="str">
            <v>I61</v>
          </cell>
          <cell r="AH100" t="str">
            <v>P61</v>
          </cell>
          <cell r="AI100" t="str">
            <v>L61</v>
          </cell>
          <cell r="AJ100" t="str">
            <v>L61</v>
          </cell>
          <cell r="AK100" t="str">
            <v>L61</v>
          </cell>
          <cell r="AL100" t="str">
            <v>ผู้แพ้นัดที่ 61</v>
          </cell>
          <cell r="AM100" t="str">
            <v>M61</v>
          </cell>
          <cell r="AN100" t="str">
            <v>B61</v>
          </cell>
          <cell r="AO100" t="str">
            <v>Переможений 61</v>
          </cell>
          <cell r="AP100" t="str">
            <v>۶۱ ہار</v>
          </cell>
          <cell r="AQ100" t="str">
            <v>L61</v>
          </cell>
        </row>
        <row r="101">
          <cell r="A101" t="str">
            <v>L62</v>
          </cell>
          <cell r="B101" t="str">
            <v>H62</v>
          </cell>
          <cell r="C101" t="str">
            <v>L62</v>
          </cell>
          <cell r="D101" t="str">
            <v>L62</v>
          </cell>
          <cell r="E101" t="str">
            <v>M62</v>
          </cell>
          <cell r="F101" t="str">
            <v>L62</v>
          </cell>
          <cell r="G101" t="str">
            <v>P62</v>
          </cell>
          <cell r="H101" t="str">
            <v>62负者</v>
          </cell>
          <cell r="I101" t="str">
            <v>L62</v>
          </cell>
          <cell r="J101" t="str">
            <v>L62</v>
          </cell>
          <cell r="K101" t="str">
            <v>P62</v>
          </cell>
          <cell r="L101" t="str">
            <v>T62</v>
          </cell>
          <cell r="M101" t="str">
            <v>V62</v>
          </cell>
          <cell r="N101" t="str">
            <v>L62</v>
          </cell>
          <cell r="O101" t="str">
            <v>წ62</v>
          </cell>
          <cell r="P101" t="str">
            <v>L62</v>
          </cell>
          <cell r="Q101" t="str">
            <v>Η62</v>
          </cell>
          <cell r="R101" t="str">
            <v>L62</v>
          </cell>
          <cell r="S101" t="str">
            <v>V62</v>
          </cell>
          <cell r="T101" t="str">
            <v>L62</v>
          </cell>
          <cell r="U101" t="str">
            <v>L62</v>
          </cell>
          <cell r="V101" t="str">
            <v>L62</v>
          </cell>
          <cell r="W101" t="str">
            <v>준결승 경기2 패자</v>
          </cell>
          <cell r="X101" t="str">
            <v>P62</v>
          </cell>
          <cell r="Y101" t="str">
            <v>И62</v>
          </cell>
          <cell r="Z101" t="str">
            <v>T62</v>
          </cell>
          <cell r="AA101" t="str">
            <v>T62</v>
          </cell>
          <cell r="AB101" t="str">
            <v>بازنده بازی 62</v>
          </cell>
          <cell r="AC101" t="str">
            <v>L62</v>
          </cell>
          <cell r="AD101" t="str">
            <v>L62</v>
          </cell>
          <cell r="AE101" t="str">
            <v>P62</v>
          </cell>
          <cell r="AF101" t="str">
            <v>L62</v>
          </cell>
          <cell r="AG101" t="str">
            <v>I62</v>
          </cell>
          <cell r="AH101" t="str">
            <v>P62</v>
          </cell>
          <cell r="AI101" t="str">
            <v>L62</v>
          </cell>
          <cell r="AJ101" t="str">
            <v>L62</v>
          </cell>
          <cell r="AK101" t="str">
            <v>L62</v>
          </cell>
          <cell r="AL101" t="str">
            <v>ผู้แพ้นัดที่ 62</v>
          </cell>
          <cell r="AM101" t="str">
            <v>M62</v>
          </cell>
          <cell r="AN101" t="str">
            <v>B62</v>
          </cell>
          <cell r="AO101" t="str">
            <v>Переможений 62</v>
          </cell>
          <cell r="AP101" t="str">
            <v>۶۲ ہار</v>
          </cell>
          <cell r="AQ101" t="str">
            <v>L62</v>
          </cell>
        </row>
        <row r="102">
          <cell r="A102" t="str">
            <v>World Champion 2018</v>
          </cell>
          <cell r="B102" t="str">
            <v xml:space="preserve">Kampioni </v>
          </cell>
          <cell r="C102" t="str">
            <v>بطل العالم 2018</v>
          </cell>
          <cell r="D102" t="str">
            <v>Աշխարհի 2018թ. Հաղթող</v>
          </cell>
          <cell r="E102" t="str">
            <v>Dünya Çempionu 2018</v>
          </cell>
          <cell r="F102" t="str">
            <v>Световен шампион 2018</v>
          </cell>
          <cell r="G102" t="str">
            <v>Campió del Món 2018</v>
          </cell>
          <cell r="H102" t="str">
            <v>2018世界杯冠军</v>
          </cell>
          <cell r="I102" t="str">
            <v>World Champion 2018</v>
          </cell>
          <cell r="J102" t="str">
            <v>Svjetski prvak 2018</v>
          </cell>
          <cell r="K102" t="str">
            <v>Mistr světa 2018</v>
          </cell>
          <cell r="L102" t="str">
            <v>Verdensmester 2018</v>
          </cell>
          <cell r="M102" t="str">
            <v>Wereldkampioen 2018</v>
          </cell>
          <cell r="N102" t="str">
            <v>Champion du Monde 2018</v>
          </cell>
          <cell r="O102" t="str">
            <v>მსოფლიოს ჩემპიონი 2018</v>
          </cell>
          <cell r="P102" t="str">
            <v>Weltmeister 2018</v>
          </cell>
          <cell r="Q102" t="str">
            <v>Πρωταθλητής 2018</v>
          </cell>
          <cell r="R102" t="str">
            <v>גביע העולם 2018</v>
          </cell>
          <cell r="S102" t="str">
            <v>A labdarúgó-VB győztes csapata:</v>
          </cell>
          <cell r="T102" t="str">
            <v>Juara Piala Dunia 2018</v>
          </cell>
          <cell r="U102" t="str">
            <v>Heimsmeistarar 2018</v>
          </cell>
          <cell r="V102" t="str">
            <v>Coppa del Mondo 2018</v>
          </cell>
          <cell r="W102" t="str">
            <v>2018년 우승국가</v>
          </cell>
          <cell r="X102" t="str">
            <v>Pasaulio Čempionas 2018</v>
          </cell>
          <cell r="Y102" t="str">
            <v>Светски шампион 2018</v>
          </cell>
          <cell r="Z102" t="str">
            <v>Rebbieħ tat-Tazza tad-Dinja 2018</v>
          </cell>
          <cell r="AA102" t="str">
            <v>Vinner 2018</v>
          </cell>
          <cell r="AB102" t="str">
            <v>قهرمان جام جهانی 2018</v>
          </cell>
          <cell r="AC102" t="str">
            <v>Mistrz Świata 2018</v>
          </cell>
          <cell r="AD102" t="str">
            <v>Vencedor do Campeonato do Mundo 2018</v>
          </cell>
          <cell r="AE102" t="str">
            <v>Campioana Mondiala 2018</v>
          </cell>
          <cell r="AF102" t="str">
            <v>Чемпион Мира 2018</v>
          </cell>
          <cell r="AG102" t="str">
            <v>Svjetski šampion 2018</v>
          </cell>
          <cell r="AH102" t="str">
            <v>Majster sveta 2018</v>
          </cell>
          <cell r="AI102" t="str">
            <v>Svetovno prvak 2018</v>
          </cell>
          <cell r="AJ102" t="str">
            <v>Campeón 2018</v>
          </cell>
          <cell r="AK102" t="str">
            <v>Världsmästare 2018</v>
          </cell>
          <cell r="AL102" t="str">
            <v>แชมป์โลกปี 2018</v>
          </cell>
          <cell r="AM102" t="str">
            <v>2018 Dünya Şampiyonu</v>
          </cell>
          <cell r="AN102" t="str">
            <v>Vòng Chung Kết 2018</v>
          </cell>
          <cell r="AO102" t="str">
            <v>Чемпіон Світу 2018</v>
          </cell>
          <cell r="AP102" t="str">
            <v>ورلڈ چیمپینس</v>
          </cell>
          <cell r="AQ102" t="str">
            <v>2018 йил Жахон Чемпиони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 t="str">
            <v>en</v>
          </cell>
          <cell r="B115" t="str">
            <v>sq</v>
          </cell>
          <cell r="C115" t="str">
            <v>ar</v>
          </cell>
          <cell r="D115" t="str">
            <v>hy</v>
          </cell>
          <cell r="E115" t="str">
            <v>az</v>
          </cell>
          <cell r="F115" t="str">
            <v>bg</v>
          </cell>
          <cell r="G115" t="str">
            <v>ca</v>
          </cell>
          <cell r="H115" t="str">
            <v>zh-CN</v>
          </cell>
          <cell r="I115" t="str">
            <v>zh-TW</v>
          </cell>
          <cell r="J115" t="str">
            <v>hr</v>
          </cell>
          <cell r="K115" t="str">
            <v>cs</v>
          </cell>
          <cell r="L115" t="str">
            <v>da</v>
          </cell>
          <cell r="M115" t="str">
            <v>nl</v>
          </cell>
          <cell r="N115" t="str">
            <v>fr</v>
          </cell>
          <cell r="O115" t="str">
            <v>ka</v>
          </cell>
          <cell r="P115" t="str">
            <v>de</v>
          </cell>
          <cell r="Q115" t="str">
            <v>el</v>
          </cell>
          <cell r="R115" t="str">
            <v>iw</v>
          </cell>
          <cell r="S115" t="str">
            <v>hu</v>
          </cell>
          <cell r="T115" t="str">
            <v>id</v>
          </cell>
          <cell r="U115" t="str">
            <v>is</v>
          </cell>
          <cell r="V115" t="str">
            <v>it</v>
          </cell>
          <cell r="W115" t="str">
            <v>ko</v>
          </cell>
          <cell r="X115" t="str">
            <v>lt</v>
          </cell>
          <cell r="Y115" t="str">
            <v>mk</v>
          </cell>
          <cell r="Z115" t="str">
            <v>mt</v>
          </cell>
          <cell r="AA115" t="str">
            <v>no</v>
          </cell>
          <cell r="AB115" t="str">
            <v>fa</v>
          </cell>
          <cell r="AC115" t="str">
            <v>pl</v>
          </cell>
          <cell r="AD115" t="str">
            <v>pt</v>
          </cell>
          <cell r="AE115" t="str">
            <v>ro</v>
          </cell>
          <cell r="AF115" t="str">
            <v>ru</v>
          </cell>
          <cell r="AG115" t="str">
            <v>sr</v>
          </cell>
          <cell r="AH115" t="str">
            <v>sk</v>
          </cell>
          <cell r="AI115" t="str">
            <v>sl</v>
          </cell>
          <cell r="AJ115" t="str">
            <v>es</v>
          </cell>
          <cell r="AK115" t="str">
            <v>sv</v>
          </cell>
          <cell r="AL115" t="str">
            <v>th</v>
          </cell>
          <cell r="AM115" t="str">
            <v>tr</v>
          </cell>
          <cell r="AN115" t="str">
            <v>vi</v>
          </cell>
          <cell r="AO115" t="str">
            <v>uk</v>
          </cell>
          <cell r="AP115" t="str">
            <v>ur</v>
          </cell>
        </row>
      </sheetData>
      <sheetData sheetId="1">
        <row r="4">
          <cell r="C4" t="str">
            <v>English</v>
          </cell>
        </row>
        <row r="15">
          <cell r="G15">
            <v>1</v>
          </cell>
          <cell r="I15" t="str">
            <v>Argentina</v>
          </cell>
        </row>
        <row r="16">
          <cell r="G16">
            <v>0.45833333333333331</v>
          </cell>
        </row>
        <row r="17">
          <cell r="B17" t="str">
            <v>Germany</v>
          </cell>
          <cell r="C17">
            <v>1602</v>
          </cell>
          <cell r="I17" t="str">
            <v>Argentina</v>
          </cell>
        </row>
        <row r="18">
          <cell r="B18" t="str">
            <v>Brazil</v>
          </cell>
          <cell r="C18">
            <v>1483</v>
          </cell>
          <cell r="I18" t="str">
            <v>Australia</v>
          </cell>
        </row>
        <row r="19">
          <cell r="B19" t="str">
            <v>Portugal</v>
          </cell>
          <cell r="C19">
            <v>1358</v>
          </cell>
          <cell r="I19" t="str">
            <v>Belgium</v>
          </cell>
        </row>
        <row r="20">
          <cell r="B20" t="str">
            <v>Argentina</v>
          </cell>
          <cell r="C20">
            <v>1348</v>
          </cell>
          <cell r="I20" t="str">
            <v>Brazil</v>
          </cell>
        </row>
        <row r="21">
          <cell r="B21" t="str">
            <v>Belgium</v>
          </cell>
          <cell r="C21">
            <v>1325</v>
          </cell>
          <cell r="I21" t="str">
            <v>Colombia</v>
          </cell>
        </row>
        <row r="22">
          <cell r="B22" t="str">
            <v>Spain</v>
          </cell>
          <cell r="C22">
            <v>1231</v>
          </cell>
          <cell r="I22" t="str">
            <v>Costa Rica</v>
          </cell>
        </row>
        <row r="23">
          <cell r="B23" t="str">
            <v>Poland</v>
          </cell>
          <cell r="C23">
            <v>1209</v>
          </cell>
          <cell r="I23" t="str">
            <v>Croatia</v>
          </cell>
        </row>
        <row r="24">
          <cell r="B24" t="str">
            <v>Switzerland</v>
          </cell>
          <cell r="C24">
            <v>1190</v>
          </cell>
          <cell r="I24" t="str">
            <v>Denmark</v>
          </cell>
        </row>
        <row r="25">
          <cell r="B25" t="str">
            <v>France</v>
          </cell>
          <cell r="C25">
            <v>1183</v>
          </cell>
          <cell r="I25" t="str">
            <v>Egypt</v>
          </cell>
        </row>
        <row r="26">
          <cell r="B26" t="str">
            <v>Peru</v>
          </cell>
          <cell r="C26">
            <v>1128</v>
          </cell>
          <cell r="I26" t="str">
            <v>England</v>
          </cell>
        </row>
        <row r="27">
          <cell r="B27" t="str">
            <v>Denmark</v>
          </cell>
          <cell r="C27">
            <v>1099</v>
          </cell>
          <cell r="I27" t="str">
            <v>France</v>
          </cell>
        </row>
        <row r="28">
          <cell r="B28" t="str">
            <v>Colombia</v>
          </cell>
          <cell r="C28">
            <v>1078</v>
          </cell>
          <cell r="I28" t="str">
            <v>Germany</v>
          </cell>
        </row>
        <row r="29">
          <cell r="B29" t="str">
            <v>England</v>
          </cell>
          <cell r="C29">
            <v>1047</v>
          </cell>
          <cell r="I29" t="str">
            <v>Iceland</v>
          </cell>
        </row>
        <row r="30">
          <cell r="B30" t="str">
            <v>Mexico</v>
          </cell>
          <cell r="C30">
            <v>1032</v>
          </cell>
          <cell r="I30" t="str">
            <v>Iran</v>
          </cell>
        </row>
        <row r="31">
          <cell r="B31" t="str">
            <v>Croatia</v>
          </cell>
          <cell r="C31">
            <v>1018</v>
          </cell>
          <cell r="I31" t="str">
            <v>Japan</v>
          </cell>
        </row>
        <row r="32">
          <cell r="B32" t="str">
            <v>Sweden</v>
          </cell>
          <cell r="C32">
            <v>998</v>
          </cell>
          <cell r="I32" t="str">
            <v>Korea Republic</v>
          </cell>
        </row>
        <row r="33">
          <cell r="B33" t="str">
            <v>Uruguay</v>
          </cell>
          <cell r="C33">
            <v>924</v>
          </cell>
          <cell r="I33" t="str">
            <v>Mexico</v>
          </cell>
        </row>
        <row r="34">
          <cell r="B34" t="str">
            <v>Iceland</v>
          </cell>
          <cell r="C34">
            <v>910</v>
          </cell>
          <cell r="I34" t="str">
            <v>Morocco</v>
          </cell>
        </row>
        <row r="35">
          <cell r="B35" t="str">
            <v>Senegal</v>
          </cell>
          <cell r="C35">
            <v>884</v>
          </cell>
          <cell r="I35" t="str">
            <v>Nigeria</v>
          </cell>
        </row>
        <row r="36">
          <cell r="B36" t="str">
            <v>Costa Rica</v>
          </cell>
          <cell r="C36">
            <v>850</v>
          </cell>
          <cell r="I36" t="str">
            <v>Panama</v>
          </cell>
        </row>
        <row r="37">
          <cell r="B37" t="str">
            <v>Tunisia</v>
          </cell>
          <cell r="C37">
            <v>838</v>
          </cell>
          <cell r="I37" t="str">
            <v>Peru</v>
          </cell>
        </row>
        <row r="38">
          <cell r="B38" t="str">
            <v>Egypt</v>
          </cell>
          <cell r="C38">
            <v>805</v>
          </cell>
          <cell r="I38" t="str">
            <v>Poland</v>
          </cell>
        </row>
        <row r="39">
          <cell r="B39" t="str">
            <v>Iran</v>
          </cell>
          <cell r="C39">
            <v>798</v>
          </cell>
          <cell r="I39" t="str">
            <v>Portugal</v>
          </cell>
        </row>
        <row r="40">
          <cell r="B40" t="str">
            <v>Serbia</v>
          </cell>
          <cell r="C40">
            <v>756</v>
          </cell>
          <cell r="I40" t="str">
            <v>Russia</v>
          </cell>
        </row>
        <row r="41">
          <cell r="B41" t="str">
            <v>Australia</v>
          </cell>
          <cell r="C41">
            <v>747</v>
          </cell>
          <cell r="I41" t="str">
            <v>Saudi Arabia</v>
          </cell>
        </row>
        <row r="42">
          <cell r="B42" t="str">
            <v>Morocco</v>
          </cell>
          <cell r="C42">
            <v>738</v>
          </cell>
          <cell r="I42" t="str">
            <v>Senegal</v>
          </cell>
        </row>
        <row r="43">
          <cell r="B43" t="str">
            <v>Nigeria</v>
          </cell>
          <cell r="C43">
            <v>640</v>
          </cell>
          <cell r="I43" t="str">
            <v>Serbia</v>
          </cell>
        </row>
        <row r="44">
          <cell r="B44" t="str">
            <v>Panama</v>
          </cell>
          <cell r="C44">
            <v>621</v>
          </cell>
          <cell r="I44" t="str">
            <v>Spain</v>
          </cell>
        </row>
        <row r="45">
          <cell r="B45" t="str">
            <v>Japan</v>
          </cell>
          <cell r="C45">
            <v>600</v>
          </cell>
          <cell r="I45" t="str">
            <v>Sweden</v>
          </cell>
        </row>
        <row r="46">
          <cell r="B46" t="str">
            <v>Korea Republic</v>
          </cell>
          <cell r="C46">
            <v>570</v>
          </cell>
          <cell r="I46" t="str">
            <v>Switzerland</v>
          </cell>
        </row>
        <row r="47">
          <cell r="B47" t="str">
            <v>Saudi Arabia</v>
          </cell>
          <cell r="C47">
            <v>543</v>
          </cell>
          <cell r="I47" t="str">
            <v>Tunisia</v>
          </cell>
        </row>
        <row r="48">
          <cell r="B48" t="str">
            <v>Russia</v>
          </cell>
          <cell r="C48">
            <v>534</v>
          </cell>
          <cell r="I48" t="str">
            <v>Uruguay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rphyhammer@live.co.uk" TargetMode="External"/><Relationship Id="rId1" Type="http://schemas.openxmlformats.org/officeDocument/2006/relationships/hyperlink" Target="mailto:r1whu@hotmail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1"/>
  <sheetViews>
    <sheetView tabSelected="1" zoomScaleNormal="100" workbookViewId="0">
      <selection activeCell="O64" sqref="O64"/>
    </sheetView>
  </sheetViews>
  <sheetFormatPr defaultRowHeight="15" x14ac:dyDescent="0.25"/>
  <cols>
    <col min="1" max="1" width="3.5703125" customWidth="1"/>
    <col min="2" max="2" width="4.7109375" style="11" customWidth="1"/>
    <col min="3" max="3" width="12.28515625" customWidth="1"/>
    <col min="4" max="4" width="5" customWidth="1"/>
    <col min="5" max="5" width="5.85546875" style="11" customWidth="1"/>
    <col min="6" max="6" width="17.85546875" customWidth="1"/>
    <col min="7" max="7" width="4.140625" style="1" customWidth="1"/>
    <col min="8" max="8" width="4" style="11" customWidth="1"/>
    <col min="9" max="9" width="18.85546875" style="11" customWidth="1"/>
    <col min="10" max="10" width="5.140625" style="1" customWidth="1"/>
    <col min="11" max="12" width="9.140625" style="7"/>
    <col min="13" max="13" width="20.7109375" style="7" customWidth="1"/>
    <col min="16" max="16" width="9.140625" customWidth="1"/>
  </cols>
  <sheetData>
    <row r="1" spans="1:13" ht="19.5" customHeight="1" thickBot="1" x14ac:dyDescent="0.3">
      <c r="A1" s="27" t="s">
        <v>86</v>
      </c>
      <c r="B1" s="248" t="s">
        <v>85</v>
      </c>
      <c r="C1" s="248"/>
      <c r="D1" s="248"/>
      <c r="E1" s="248"/>
      <c r="F1" s="248"/>
      <c r="G1" s="248"/>
      <c r="H1" s="248"/>
      <c r="I1" s="248"/>
      <c r="J1" s="26" t="s">
        <v>78</v>
      </c>
      <c r="K1" s="249" t="s">
        <v>84</v>
      </c>
      <c r="L1" s="249"/>
      <c r="M1" s="250"/>
    </row>
    <row r="2" spans="1:13" x14ac:dyDescent="0.25">
      <c r="A2" s="127">
        <v>1</v>
      </c>
      <c r="B2" s="34" t="s">
        <v>43</v>
      </c>
      <c r="C2" s="28">
        <v>43265</v>
      </c>
      <c r="D2" s="29" t="s">
        <v>87</v>
      </c>
      <c r="E2" s="44" t="s">
        <v>50</v>
      </c>
      <c r="F2" s="17" t="s">
        <v>5</v>
      </c>
      <c r="G2" s="120"/>
      <c r="H2" s="119"/>
      <c r="I2" s="17" t="s">
        <v>45</v>
      </c>
      <c r="J2" s="130"/>
      <c r="K2" s="257" t="s">
        <v>17</v>
      </c>
      <c r="L2" s="251"/>
      <c r="M2" s="252"/>
    </row>
    <row r="3" spans="1:13" ht="15.75" thickBot="1" x14ac:dyDescent="0.3">
      <c r="A3" s="128">
        <v>2</v>
      </c>
      <c r="B3" s="35" t="s">
        <v>0</v>
      </c>
      <c r="C3" s="30">
        <v>43266</v>
      </c>
      <c r="D3" s="31" t="s">
        <v>89</v>
      </c>
      <c r="E3" s="45" t="s">
        <v>51</v>
      </c>
      <c r="F3" s="8" t="s">
        <v>52</v>
      </c>
      <c r="G3" s="89"/>
      <c r="H3" s="88"/>
      <c r="I3" s="8" t="s">
        <v>53</v>
      </c>
      <c r="J3" s="131"/>
      <c r="K3" s="258"/>
      <c r="L3" s="253"/>
      <c r="M3" s="254"/>
    </row>
    <row r="4" spans="1:13" x14ac:dyDescent="0.25">
      <c r="A4" s="128">
        <v>3</v>
      </c>
      <c r="B4" s="35" t="s">
        <v>0</v>
      </c>
      <c r="C4" s="30">
        <v>43266</v>
      </c>
      <c r="D4" s="31" t="s">
        <v>89</v>
      </c>
      <c r="E4" s="45" t="s">
        <v>55</v>
      </c>
      <c r="F4" s="8" t="s">
        <v>14</v>
      </c>
      <c r="G4" s="89"/>
      <c r="H4" s="88"/>
      <c r="I4" s="8" t="s">
        <v>11</v>
      </c>
      <c r="J4" s="131"/>
      <c r="K4" s="259" t="s">
        <v>18</v>
      </c>
      <c r="L4" s="255"/>
      <c r="M4" s="256"/>
    </row>
    <row r="5" spans="1:13" ht="15.75" thickBot="1" x14ac:dyDescent="0.3">
      <c r="A5" s="128">
        <v>4</v>
      </c>
      <c r="B5" s="35" t="s">
        <v>0</v>
      </c>
      <c r="C5" s="30">
        <v>43266</v>
      </c>
      <c r="D5" s="31" t="s">
        <v>87</v>
      </c>
      <c r="E5" s="45" t="s">
        <v>50</v>
      </c>
      <c r="F5" s="8" t="s">
        <v>117</v>
      </c>
      <c r="G5" s="89"/>
      <c r="H5" s="88"/>
      <c r="I5" s="8" t="s">
        <v>54</v>
      </c>
      <c r="J5" s="131"/>
      <c r="K5" s="260"/>
      <c r="L5" s="253"/>
      <c r="M5" s="254"/>
    </row>
    <row r="6" spans="1:13" x14ac:dyDescent="0.25">
      <c r="A6" s="128">
        <v>5</v>
      </c>
      <c r="B6" s="35" t="s">
        <v>2</v>
      </c>
      <c r="C6" s="30">
        <v>43267</v>
      </c>
      <c r="D6" s="31" t="s">
        <v>89</v>
      </c>
      <c r="E6" s="45" t="s">
        <v>56</v>
      </c>
      <c r="F6" s="8" t="s">
        <v>1</v>
      </c>
      <c r="G6" s="89"/>
      <c r="H6" s="88"/>
      <c r="I6" s="8" t="s">
        <v>57</v>
      </c>
      <c r="J6" s="131"/>
      <c r="K6" s="267" t="s">
        <v>19</v>
      </c>
      <c r="L6" s="267"/>
      <c r="M6" s="268"/>
    </row>
    <row r="7" spans="1:13" ht="15.75" thickBot="1" x14ac:dyDescent="0.3">
      <c r="A7" s="128">
        <v>6</v>
      </c>
      <c r="B7" s="35" t="s">
        <v>2</v>
      </c>
      <c r="C7" s="30">
        <v>43267</v>
      </c>
      <c r="D7" s="31" t="s">
        <v>89</v>
      </c>
      <c r="E7" s="45" t="s">
        <v>60</v>
      </c>
      <c r="F7" s="8" t="s">
        <v>61</v>
      </c>
      <c r="G7" s="89"/>
      <c r="H7" s="88"/>
      <c r="I7" s="8" t="s">
        <v>62</v>
      </c>
      <c r="J7" s="131"/>
      <c r="K7" s="269"/>
      <c r="L7" s="269"/>
      <c r="M7" s="270"/>
    </row>
    <row r="8" spans="1:13" x14ac:dyDescent="0.25">
      <c r="A8" s="128">
        <v>7</v>
      </c>
      <c r="B8" s="35" t="s">
        <v>2</v>
      </c>
      <c r="C8" s="30">
        <v>43267</v>
      </c>
      <c r="D8" s="31" t="s">
        <v>87</v>
      </c>
      <c r="E8" s="45" t="s">
        <v>58</v>
      </c>
      <c r="F8" s="8" t="s">
        <v>59</v>
      </c>
      <c r="G8" s="89"/>
      <c r="H8" s="88"/>
      <c r="I8" s="8" t="s">
        <v>15</v>
      </c>
      <c r="J8" s="131"/>
      <c r="K8" s="271" t="s">
        <v>38</v>
      </c>
      <c r="L8" s="271"/>
      <c r="M8" s="272"/>
    </row>
    <row r="9" spans="1:13" x14ac:dyDescent="0.25">
      <c r="A9" s="128">
        <v>8</v>
      </c>
      <c r="B9" s="35" t="s">
        <v>2</v>
      </c>
      <c r="C9" s="30">
        <v>43267</v>
      </c>
      <c r="D9" s="31" t="s">
        <v>87</v>
      </c>
      <c r="E9" s="45" t="s">
        <v>63</v>
      </c>
      <c r="F9" s="8" t="s">
        <v>7</v>
      </c>
      <c r="G9" s="89"/>
      <c r="H9" s="88"/>
      <c r="I9" s="8" t="s">
        <v>64</v>
      </c>
      <c r="J9" s="131"/>
      <c r="K9" s="273"/>
      <c r="L9" s="273"/>
      <c r="M9" s="274"/>
    </row>
    <row r="10" spans="1:13" x14ac:dyDescent="0.25">
      <c r="A10" s="128">
        <v>9</v>
      </c>
      <c r="B10" s="35" t="s">
        <v>6</v>
      </c>
      <c r="C10" s="30">
        <v>43268</v>
      </c>
      <c r="D10" s="31" t="s">
        <v>87</v>
      </c>
      <c r="E10" s="45" t="s">
        <v>55</v>
      </c>
      <c r="F10" s="8" t="s">
        <v>68</v>
      </c>
      <c r="G10" s="89"/>
      <c r="H10" s="88"/>
      <c r="I10" s="8" t="s">
        <v>3</v>
      </c>
      <c r="J10" s="131"/>
      <c r="K10" s="244" t="s">
        <v>20</v>
      </c>
      <c r="L10" s="244"/>
      <c r="M10" s="245"/>
    </row>
    <row r="11" spans="1:13" x14ac:dyDescent="0.25">
      <c r="A11" s="128">
        <v>10</v>
      </c>
      <c r="B11" s="35" t="s">
        <v>6</v>
      </c>
      <c r="C11" s="30">
        <v>43268</v>
      </c>
      <c r="D11" s="31" t="s">
        <v>87</v>
      </c>
      <c r="E11" s="45" t="s">
        <v>51</v>
      </c>
      <c r="F11" s="8" t="s">
        <v>65</v>
      </c>
      <c r="G11" s="89"/>
      <c r="H11" s="88"/>
      <c r="I11" s="8" t="s">
        <v>66</v>
      </c>
      <c r="J11" s="131"/>
      <c r="K11" s="195" t="s">
        <v>37</v>
      </c>
      <c r="L11" s="195"/>
      <c r="M11" s="196"/>
    </row>
    <row r="12" spans="1:13" x14ac:dyDescent="0.25">
      <c r="A12" s="128">
        <v>11</v>
      </c>
      <c r="B12" s="35" t="s">
        <v>6</v>
      </c>
      <c r="C12" s="30">
        <v>43268</v>
      </c>
      <c r="D12" s="31" t="s">
        <v>89</v>
      </c>
      <c r="E12" s="45" t="s">
        <v>50</v>
      </c>
      <c r="F12" s="8" t="s">
        <v>9</v>
      </c>
      <c r="G12" s="89"/>
      <c r="H12" s="88"/>
      <c r="I12" s="8" t="s">
        <v>67</v>
      </c>
      <c r="J12" s="131"/>
      <c r="K12" s="195" t="s">
        <v>77</v>
      </c>
      <c r="L12" s="195"/>
      <c r="M12" s="196"/>
    </row>
    <row r="13" spans="1:13" x14ac:dyDescent="0.25">
      <c r="A13" s="128">
        <v>12</v>
      </c>
      <c r="B13" s="35" t="s">
        <v>10</v>
      </c>
      <c r="C13" s="30">
        <v>43269</v>
      </c>
      <c r="D13" s="31" t="s">
        <v>87</v>
      </c>
      <c r="E13" s="45" t="s">
        <v>51</v>
      </c>
      <c r="F13" s="8" t="s">
        <v>12</v>
      </c>
      <c r="G13" s="89"/>
      <c r="H13" s="88"/>
      <c r="I13" s="8" t="s">
        <v>69</v>
      </c>
      <c r="J13" s="131"/>
      <c r="K13" s="233" t="s">
        <v>79</v>
      </c>
      <c r="L13" s="233"/>
      <c r="M13" s="234"/>
    </row>
    <row r="14" spans="1:13" x14ac:dyDescent="0.25">
      <c r="A14" s="128">
        <v>13</v>
      </c>
      <c r="B14" s="35" t="s">
        <v>10</v>
      </c>
      <c r="C14" s="30">
        <v>43269</v>
      </c>
      <c r="D14" s="31" t="s">
        <v>89</v>
      </c>
      <c r="E14" s="45" t="s">
        <v>50</v>
      </c>
      <c r="F14" s="8" t="s">
        <v>13</v>
      </c>
      <c r="G14" s="89"/>
      <c r="H14" s="88"/>
      <c r="I14" s="8" t="s">
        <v>70</v>
      </c>
      <c r="J14" s="131"/>
      <c r="K14" s="195" t="s">
        <v>80</v>
      </c>
      <c r="L14" s="210"/>
      <c r="M14" s="211"/>
    </row>
    <row r="15" spans="1:13" x14ac:dyDescent="0.25">
      <c r="A15" s="128">
        <v>14</v>
      </c>
      <c r="B15" s="35" t="s">
        <v>10</v>
      </c>
      <c r="C15" s="30">
        <v>43269</v>
      </c>
      <c r="D15" s="31" t="s">
        <v>89</v>
      </c>
      <c r="E15" s="45" t="s">
        <v>55</v>
      </c>
      <c r="F15" s="8" t="s">
        <v>71</v>
      </c>
      <c r="G15" s="89"/>
      <c r="H15" s="88"/>
      <c r="I15" s="8" t="s">
        <v>4</v>
      </c>
      <c r="J15" s="131"/>
      <c r="K15" s="233" t="s">
        <v>21</v>
      </c>
      <c r="L15" s="233"/>
      <c r="M15" s="234"/>
    </row>
    <row r="16" spans="1:13" x14ac:dyDescent="0.25">
      <c r="A16" s="128">
        <v>15</v>
      </c>
      <c r="B16" s="35" t="s">
        <v>44</v>
      </c>
      <c r="C16" s="30">
        <v>43270</v>
      </c>
      <c r="D16" s="31" t="s">
        <v>87</v>
      </c>
      <c r="E16" s="45" t="s">
        <v>50</v>
      </c>
      <c r="F16" s="8" t="s">
        <v>8</v>
      </c>
      <c r="G16" s="89"/>
      <c r="H16" s="88"/>
      <c r="I16" s="8" t="s">
        <v>74</v>
      </c>
      <c r="J16" s="131"/>
      <c r="K16" s="195" t="s">
        <v>22</v>
      </c>
      <c r="L16" s="195"/>
      <c r="M16" s="196"/>
    </row>
    <row r="17" spans="1:13" x14ac:dyDescent="0.25">
      <c r="A17" s="128">
        <v>16</v>
      </c>
      <c r="B17" s="35" t="s">
        <v>44</v>
      </c>
      <c r="C17" s="30">
        <v>43270</v>
      </c>
      <c r="D17" s="31" t="s">
        <v>89</v>
      </c>
      <c r="E17" s="45" t="s">
        <v>51</v>
      </c>
      <c r="F17" s="8" t="s">
        <v>72</v>
      </c>
      <c r="G17" s="89"/>
      <c r="H17" s="88"/>
      <c r="I17" s="8" t="s">
        <v>73</v>
      </c>
      <c r="J17" s="131"/>
      <c r="K17" s="277" t="s">
        <v>23</v>
      </c>
      <c r="L17" s="278"/>
      <c r="M17" s="279"/>
    </row>
    <row r="18" spans="1:13" ht="15" customHeight="1" x14ac:dyDescent="0.25">
      <c r="A18" s="128">
        <v>17</v>
      </c>
      <c r="B18" s="35" t="s">
        <v>44</v>
      </c>
      <c r="C18" s="30">
        <v>43270</v>
      </c>
      <c r="D18" s="31" t="s">
        <v>89</v>
      </c>
      <c r="E18" s="45" t="s">
        <v>55</v>
      </c>
      <c r="F18" s="8" t="s">
        <v>5</v>
      </c>
      <c r="G18" s="89"/>
      <c r="H18" s="88"/>
      <c r="I18" s="8" t="s">
        <v>52</v>
      </c>
      <c r="J18" s="131"/>
      <c r="K18" s="277"/>
      <c r="L18" s="278"/>
      <c r="M18" s="279"/>
    </row>
    <row r="19" spans="1:13" x14ac:dyDescent="0.25">
      <c r="A19" s="128">
        <v>18</v>
      </c>
      <c r="B19" s="35" t="s">
        <v>16</v>
      </c>
      <c r="C19" s="30">
        <v>43271</v>
      </c>
      <c r="D19" s="31" t="s">
        <v>89</v>
      </c>
      <c r="E19" s="45" t="s">
        <v>50</v>
      </c>
      <c r="F19" s="8" t="s">
        <v>53</v>
      </c>
      <c r="G19" s="89"/>
      <c r="H19" s="88"/>
      <c r="I19" s="8" t="s">
        <v>45</v>
      </c>
      <c r="J19" s="131"/>
      <c r="K19" s="277"/>
      <c r="L19" s="278"/>
      <c r="M19" s="279"/>
    </row>
    <row r="20" spans="1:13" x14ac:dyDescent="0.25">
      <c r="A20" s="128">
        <v>19</v>
      </c>
      <c r="B20" s="35" t="s">
        <v>16</v>
      </c>
      <c r="C20" s="30">
        <v>43271</v>
      </c>
      <c r="D20" s="31" t="s">
        <v>89</v>
      </c>
      <c r="E20" s="45" t="s">
        <v>51</v>
      </c>
      <c r="F20" s="8" t="s">
        <v>14</v>
      </c>
      <c r="G20" s="89"/>
      <c r="H20" s="88"/>
      <c r="I20" s="8" t="s">
        <v>117</v>
      </c>
      <c r="J20" s="131"/>
      <c r="K20" s="244" t="s">
        <v>33</v>
      </c>
      <c r="L20" s="244"/>
      <c r="M20" s="245"/>
    </row>
    <row r="21" spans="1:13" x14ac:dyDescent="0.25">
      <c r="A21" s="128">
        <v>20</v>
      </c>
      <c r="B21" s="35" t="s">
        <v>16</v>
      </c>
      <c r="C21" s="30">
        <v>43271</v>
      </c>
      <c r="D21" s="31" t="s">
        <v>87</v>
      </c>
      <c r="E21" s="45" t="s">
        <v>55</v>
      </c>
      <c r="F21" s="8" t="s">
        <v>54</v>
      </c>
      <c r="G21" s="89"/>
      <c r="H21" s="88"/>
      <c r="I21" s="8" t="s">
        <v>11</v>
      </c>
      <c r="J21" s="131"/>
      <c r="K21" s="275" t="s">
        <v>25</v>
      </c>
      <c r="L21" s="275"/>
      <c r="M21" s="276"/>
    </row>
    <row r="22" spans="1:13" x14ac:dyDescent="0.25">
      <c r="A22" s="128">
        <v>21</v>
      </c>
      <c r="B22" s="35" t="s">
        <v>43</v>
      </c>
      <c r="C22" s="30">
        <v>43272</v>
      </c>
      <c r="D22" s="31" t="s">
        <v>87</v>
      </c>
      <c r="E22" s="45" t="s">
        <v>50</v>
      </c>
      <c r="F22" s="8" t="s">
        <v>1</v>
      </c>
      <c r="G22" s="89"/>
      <c r="H22" s="88"/>
      <c r="I22" s="8" t="s">
        <v>61</v>
      </c>
      <c r="J22" s="131"/>
      <c r="K22" s="210" t="s">
        <v>36</v>
      </c>
      <c r="L22" s="210"/>
      <c r="M22" s="211"/>
    </row>
    <row r="23" spans="1:13" x14ac:dyDescent="0.25">
      <c r="A23" s="128">
        <v>22</v>
      </c>
      <c r="B23" s="35" t="s">
        <v>43</v>
      </c>
      <c r="C23" s="30">
        <v>43272</v>
      </c>
      <c r="D23" s="31" t="s">
        <v>87</v>
      </c>
      <c r="E23" s="45" t="s">
        <v>51</v>
      </c>
      <c r="F23" s="8" t="s">
        <v>62</v>
      </c>
      <c r="G23" s="89"/>
      <c r="H23" s="88"/>
      <c r="I23" s="8" t="s">
        <v>57</v>
      </c>
      <c r="J23" s="131"/>
      <c r="K23" s="280"/>
      <c r="L23" s="280"/>
      <c r="M23" s="281"/>
    </row>
    <row r="24" spans="1:13" x14ac:dyDescent="0.25">
      <c r="A24" s="128">
        <v>23</v>
      </c>
      <c r="B24" s="35" t="s">
        <v>43</v>
      </c>
      <c r="C24" s="30">
        <v>43272</v>
      </c>
      <c r="D24" s="31" t="s">
        <v>89</v>
      </c>
      <c r="E24" s="45" t="s">
        <v>55</v>
      </c>
      <c r="F24" s="8" t="s">
        <v>59</v>
      </c>
      <c r="G24" s="89"/>
      <c r="H24" s="88"/>
      <c r="I24" s="8" t="s">
        <v>7</v>
      </c>
      <c r="J24" s="131"/>
      <c r="K24" s="244" t="s">
        <v>24</v>
      </c>
      <c r="L24" s="244"/>
      <c r="M24" s="245"/>
    </row>
    <row r="25" spans="1:13" ht="15" customHeight="1" x14ac:dyDescent="0.25">
      <c r="A25" s="128">
        <v>24</v>
      </c>
      <c r="B25" s="35" t="s">
        <v>0</v>
      </c>
      <c r="C25" s="30">
        <v>43273</v>
      </c>
      <c r="D25" s="31" t="s">
        <v>89</v>
      </c>
      <c r="E25" s="45" t="s">
        <v>50</v>
      </c>
      <c r="F25" s="8" t="s">
        <v>64</v>
      </c>
      <c r="G25" s="89"/>
      <c r="H25" s="88"/>
      <c r="I25" s="8" t="s">
        <v>15</v>
      </c>
      <c r="J25" s="131"/>
      <c r="K25" s="233" t="s">
        <v>81</v>
      </c>
      <c r="L25" s="233"/>
      <c r="M25" s="234"/>
    </row>
    <row r="26" spans="1:13" ht="15" customHeight="1" x14ac:dyDescent="0.25">
      <c r="A26" s="128">
        <v>25</v>
      </c>
      <c r="B26" s="35" t="s">
        <v>0</v>
      </c>
      <c r="C26" s="30">
        <v>43273</v>
      </c>
      <c r="D26" s="31" t="s">
        <v>87</v>
      </c>
      <c r="E26" s="45" t="s">
        <v>51</v>
      </c>
      <c r="F26" s="8" t="s">
        <v>68</v>
      </c>
      <c r="G26" s="89"/>
      <c r="H26" s="88"/>
      <c r="I26" s="8" t="s">
        <v>65</v>
      </c>
      <c r="J26" s="131"/>
      <c r="K26" s="246" t="s">
        <v>90</v>
      </c>
      <c r="L26" s="210"/>
      <c r="M26" s="211"/>
    </row>
    <row r="27" spans="1:13" x14ac:dyDescent="0.25">
      <c r="A27" s="128">
        <v>26</v>
      </c>
      <c r="B27" s="35" t="s">
        <v>0</v>
      </c>
      <c r="C27" s="30">
        <v>43273</v>
      </c>
      <c r="D27" s="31" t="s">
        <v>89</v>
      </c>
      <c r="E27" s="45" t="s">
        <v>55</v>
      </c>
      <c r="F27" s="8" t="s">
        <v>66</v>
      </c>
      <c r="G27" s="89"/>
      <c r="H27" s="88"/>
      <c r="I27" s="8" t="s">
        <v>3</v>
      </c>
      <c r="J27" s="131"/>
      <c r="K27" s="247"/>
      <c r="L27" s="233"/>
      <c r="M27" s="234"/>
    </row>
    <row r="28" spans="1:13" x14ac:dyDescent="0.25">
      <c r="A28" s="128">
        <v>27</v>
      </c>
      <c r="B28" s="35" t="s">
        <v>2</v>
      </c>
      <c r="C28" s="30">
        <v>43274</v>
      </c>
      <c r="D28" s="31" t="s">
        <v>87</v>
      </c>
      <c r="E28" s="45" t="s">
        <v>55</v>
      </c>
      <c r="F28" s="8" t="s">
        <v>9</v>
      </c>
      <c r="G28" s="89"/>
      <c r="H28" s="88"/>
      <c r="I28" s="8" t="s">
        <v>12</v>
      </c>
      <c r="J28" s="131"/>
      <c r="K28" s="244" t="s">
        <v>26</v>
      </c>
      <c r="L28" s="244"/>
      <c r="M28" s="245"/>
    </row>
    <row r="29" spans="1:13" x14ac:dyDescent="0.25">
      <c r="A29" s="128">
        <v>28</v>
      </c>
      <c r="B29" s="35" t="s">
        <v>2</v>
      </c>
      <c r="C29" s="30">
        <v>43274</v>
      </c>
      <c r="D29" s="31" t="s">
        <v>87</v>
      </c>
      <c r="E29" s="45" t="s">
        <v>50</v>
      </c>
      <c r="F29" s="8" t="s">
        <v>69</v>
      </c>
      <c r="G29" s="89"/>
      <c r="H29" s="88"/>
      <c r="I29" s="8" t="s">
        <v>67</v>
      </c>
      <c r="J29" s="131"/>
      <c r="K29" s="233" t="s">
        <v>34</v>
      </c>
      <c r="L29" s="233"/>
      <c r="M29" s="234"/>
    </row>
    <row r="30" spans="1:13" x14ac:dyDescent="0.25">
      <c r="A30" s="128">
        <v>29</v>
      </c>
      <c r="B30" s="35" t="s">
        <v>2</v>
      </c>
      <c r="C30" s="30">
        <v>43274</v>
      </c>
      <c r="D30" s="31" t="s">
        <v>89</v>
      </c>
      <c r="E30" s="45" t="s">
        <v>51</v>
      </c>
      <c r="F30" s="8" t="s">
        <v>13</v>
      </c>
      <c r="G30" s="89"/>
      <c r="H30" s="88"/>
      <c r="I30" s="8" t="s">
        <v>71</v>
      </c>
      <c r="J30" s="131"/>
      <c r="K30" s="195" t="s">
        <v>91</v>
      </c>
      <c r="L30" s="210"/>
      <c r="M30" s="211"/>
    </row>
    <row r="31" spans="1:13" x14ac:dyDescent="0.25">
      <c r="A31" s="128">
        <v>30</v>
      </c>
      <c r="B31" s="35" t="s">
        <v>6</v>
      </c>
      <c r="C31" s="30">
        <v>43275</v>
      </c>
      <c r="D31" s="31" t="s">
        <v>89</v>
      </c>
      <c r="E31" s="45" t="s">
        <v>51</v>
      </c>
      <c r="F31" s="8" t="s">
        <v>4</v>
      </c>
      <c r="G31" s="89"/>
      <c r="H31" s="88"/>
      <c r="I31" s="8" t="s">
        <v>70</v>
      </c>
      <c r="J31" s="131"/>
      <c r="K31" s="233"/>
      <c r="L31" s="233"/>
      <c r="M31" s="234"/>
    </row>
    <row r="32" spans="1:13" x14ac:dyDescent="0.25">
      <c r="A32" s="128">
        <v>31</v>
      </c>
      <c r="B32" s="35" t="s">
        <v>6</v>
      </c>
      <c r="C32" s="30">
        <v>43275</v>
      </c>
      <c r="D32" s="31" t="s">
        <v>87</v>
      </c>
      <c r="E32" s="45" t="s">
        <v>55</v>
      </c>
      <c r="F32" s="8" t="s">
        <v>8</v>
      </c>
      <c r="G32" s="89"/>
      <c r="H32" s="88"/>
      <c r="I32" s="8" t="s">
        <v>75</v>
      </c>
      <c r="J32" s="131"/>
      <c r="K32" s="244" t="s">
        <v>27</v>
      </c>
      <c r="L32" s="244"/>
      <c r="M32" s="245"/>
    </row>
    <row r="33" spans="1:13" x14ac:dyDescent="0.25">
      <c r="A33" s="128">
        <v>32</v>
      </c>
      <c r="B33" s="35" t="s">
        <v>6</v>
      </c>
      <c r="C33" s="30">
        <v>43275</v>
      </c>
      <c r="D33" s="31" t="s">
        <v>89</v>
      </c>
      <c r="E33" s="45" t="s">
        <v>50</v>
      </c>
      <c r="F33" s="8" t="s">
        <v>73</v>
      </c>
      <c r="G33" s="89"/>
      <c r="H33" s="88"/>
      <c r="I33" s="8" t="s">
        <v>74</v>
      </c>
      <c r="J33" s="131"/>
      <c r="K33" s="242" t="s">
        <v>35</v>
      </c>
      <c r="L33" s="242"/>
      <c r="M33" s="243"/>
    </row>
    <row r="34" spans="1:13" x14ac:dyDescent="0.25">
      <c r="A34" s="128">
        <v>33</v>
      </c>
      <c r="B34" s="35" t="s">
        <v>10</v>
      </c>
      <c r="C34" s="30">
        <v>43276</v>
      </c>
      <c r="D34" s="31" t="s">
        <v>87</v>
      </c>
      <c r="E34" s="45" t="s">
        <v>76</v>
      </c>
      <c r="F34" s="8" t="s">
        <v>53</v>
      </c>
      <c r="G34" s="89"/>
      <c r="H34" s="88"/>
      <c r="I34" s="8" t="s">
        <v>5</v>
      </c>
      <c r="J34" s="131"/>
      <c r="K34" s="195" t="s">
        <v>92</v>
      </c>
      <c r="L34" s="210"/>
      <c r="M34" s="211"/>
    </row>
    <row r="35" spans="1:13" x14ac:dyDescent="0.25">
      <c r="A35" s="128">
        <v>34</v>
      </c>
      <c r="B35" s="35" t="s">
        <v>10</v>
      </c>
      <c r="C35" s="30">
        <v>43276</v>
      </c>
      <c r="D35" s="31" t="s">
        <v>89</v>
      </c>
      <c r="E35" s="45" t="s">
        <v>76</v>
      </c>
      <c r="F35" s="8" t="s">
        <v>45</v>
      </c>
      <c r="G35" s="89"/>
      <c r="H35" s="88"/>
      <c r="I35" s="8" t="s">
        <v>52</v>
      </c>
      <c r="J35" s="131"/>
      <c r="K35" s="242"/>
      <c r="L35" s="242"/>
      <c r="M35" s="243"/>
    </row>
    <row r="36" spans="1:13" x14ac:dyDescent="0.25">
      <c r="A36" s="128">
        <v>35</v>
      </c>
      <c r="B36" s="35" t="s">
        <v>10</v>
      </c>
      <c r="C36" s="30">
        <v>43276</v>
      </c>
      <c r="D36" s="31" t="s">
        <v>89</v>
      </c>
      <c r="E36" s="45" t="s">
        <v>55</v>
      </c>
      <c r="F36" s="8" t="s">
        <v>54</v>
      </c>
      <c r="G36" s="89"/>
      <c r="H36" s="88"/>
      <c r="I36" s="8" t="s">
        <v>14</v>
      </c>
      <c r="J36" s="131"/>
      <c r="K36" s="244" t="s">
        <v>28</v>
      </c>
      <c r="L36" s="244"/>
      <c r="M36" s="245"/>
    </row>
    <row r="37" spans="1:13" x14ac:dyDescent="0.25">
      <c r="A37" s="128">
        <v>36</v>
      </c>
      <c r="B37" s="35" t="s">
        <v>10</v>
      </c>
      <c r="C37" s="30">
        <v>43276</v>
      </c>
      <c r="D37" s="31" t="s">
        <v>89</v>
      </c>
      <c r="E37" s="45" t="s">
        <v>55</v>
      </c>
      <c r="F37" s="8" t="s">
        <v>11</v>
      </c>
      <c r="G37" s="89"/>
      <c r="H37" s="88"/>
      <c r="I37" s="8" t="s">
        <v>117</v>
      </c>
      <c r="J37" s="131"/>
      <c r="K37" s="233" t="s">
        <v>29</v>
      </c>
      <c r="L37" s="233"/>
      <c r="M37" s="234"/>
    </row>
    <row r="38" spans="1:13" x14ac:dyDescent="0.25">
      <c r="A38" s="128">
        <v>37</v>
      </c>
      <c r="B38" s="35" t="s">
        <v>44</v>
      </c>
      <c r="C38" s="30">
        <v>43277</v>
      </c>
      <c r="D38" s="31" t="s">
        <v>87</v>
      </c>
      <c r="E38" s="45" t="s">
        <v>76</v>
      </c>
      <c r="F38" s="8" t="s">
        <v>62</v>
      </c>
      <c r="G38" s="89"/>
      <c r="H38" s="88"/>
      <c r="I38" s="8" t="s">
        <v>1</v>
      </c>
      <c r="J38" s="131"/>
      <c r="K38" s="210" t="s">
        <v>30</v>
      </c>
      <c r="L38" s="210"/>
      <c r="M38" s="211"/>
    </row>
    <row r="39" spans="1:13" ht="15.75" thickBot="1" x14ac:dyDescent="0.3">
      <c r="A39" s="128">
        <v>38</v>
      </c>
      <c r="B39" s="35" t="s">
        <v>44</v>
      </c>
      <c r="C39" s="30">
        <v>43277</v>
      </c>
      <c r="D39" s="31" t="s">
        <v>88</v>
      </c>
      <c r="E39" s="45" t="s">
        <v>76</v>
      </c>
      <c r="F39" s="8" t="s">
        <v>57</v>
      </c>
      <c r="G39" s="89"/>
      <c r="H39" s="88"/>
      <c r="I39" s="8" t="s">
        <v>61</v>
      </c>
      <c r="J39" s="131"/>
      <c r="K39" s="235"/>
      <c r="L39" s="235"/>
      <c r="M39" s="236"/>
    </row>
    <row r="40" spans="1:13" x14ac:dyDescent="0.25">
      <c r="A40" s="128">
        <v>39</v>
      </c>
      <c r="B40" s="35" t="s">
        <v>44</v>
      </c>
      <c r="C40" s="30">
        <v>43277</v>
      </c>
      <c r="D40" s="31" t="s">
        <v>89</v>
      </c>
      <c r="E40" s="45" t="s">
        <v>55</v>
      </c>
      <c r="F40" s="8" t="s">
        <v>64</v>
      </c>
      <c r="G40" s="89"/>
      <c r="H40" s="88"/>
      <c r="I40" s="8" t="s">
        <v>59</v>
      </c>
      <c r="J40" s="131"/>
      <c r="K40" s="237"/>
      <c r="L40" s="237"/>
      <c r="M40" s="238"/>
    </row>
    <row r="41" spans="1:13" ht="15" customHeight="1" x14ac:dyDescent="0.25">
      <c r="A41" s="128">
        <v>40</v>
      </c>
      <c r="B41" s="35" t="s">
        <v>44</v>
      </c>
      <c r="C41" s="30">
        <v>43277</v>
      </c>
      <c r="D41" s="31" t="s">
        <v>89</v>
      </c>
      <c r="E41" s="45" t="s">
        <v>55</v>
      </c>
      <c r="F41" s="8" t="s">
        <v>15</v>
      </c>
      <c r="G41" s="89"/>
      <c r="H41" s="88"/>
      <c r="I41" s="8" t="s">
        <v>7</v>
      </c>
      <c r="J41" s="131"/>
      <c r="K41" s="239" t="s">
        <v>31</v>
      </c>
      <c r="L41" s="240"/>
      <c r="M41" s="241"/>
    </row>
    <row r="42" spans="1:13" ht="15" customHeight="1" x14ac:dyDescent="0.25">
      <c r="A42" s="128">
        <v>41</v>
      </c>
      <c r="B42" s="35" t="s">
        <v>16</v>
      </c>
      <c r="C42" s="30">
        <v>43278</v>
      </c>
      <c r="D42" s="31" t="s">
        <v>87</v>
      </c>
      <c r="E42" s="45" t="s">
        <v>55</v>
      </c>
      <c r="F42" s="8" t="s">
        <v>66</v>
      </c>
      <c r="G42" s="89"/>
      <c r="H42" s="88"/>
      <c r="I42" s="8" t="s">
        <v>68</v>
      </c>
      <c r="J42" s="131"/>
      <c r="K42" s="239" t="s">
        <v>95</v>
      </c>
      <c r="L42" s="240"/>
      <c r="M42" s="241"/>
    </row>
    <row r="43" spans="1:13" x14ac:dyDescent="0.25">
      <c r="A43" s="128">
        <v>42</v>
      </c>
      <c r="B43" s="35" t="s">
        <v>16</v>
      </c>
      <c r="C43" s="30">
        <v>43278</v>
      </c>
      <c r="D43" s="31" t="s">
        <v>88</v>
      </c>
      <c r="E43" s="45" t="s">
        <v>55</v>
      </c>
      <c r="F43" s="8" t="s">
        <v>3</v>
      </c>
      <c r="G43" s="89"/>
      <c r="H43" s="88"/>
      <c r="I43" s="8" t="s">
        <v>65</v>
      </c>
      <c r="J43" s="131"/>
      <c r="K43" s="210"/>
      <c r="L43" s="210"/>
      <c r="M43" s="211"/>
    </row>
    <row r="44" spans="1:13" x14ac:dyDescent="0.25">
      <c r="A44" s="128">
        <v>43</v>
      </c>
      <c r="B44" s="35" t="s">
        <v>16</v>
      </c>
      <c r="C44" s="30">
        <v>43278</v>
      </c>
      <c r="D44" s="31" t="s">
        <v>89</v>
      </c>
      <c r="E44" s="45" t="s">
        <v>76</v>
      </c>
      <c r="F44" s="8" t="s">
        <v>69</v>
      </c>
      <c r="G44" s="89"/>
      <c r="H44" s="88"/>
      <c r="I44" s="8" t="s">
        <v>9</v>
      </c>
      <c r="J44" s="131"/>
      <c r="K44" s="231" t="s">
        <v>112</v>
      </c>
      <c r="L44" s="231"/>
      <c r="M44" s="232"/>
    </row>
    <row r="45" spans="1:13" ht="15" customHeight="1" x14ac:dyDescent="0.25">
      <c r="A45" s="128">
        <v>44</v>
      </c>
      <c r="B45" s="35" t="s">
        <v>16</v>
      </c>
      <c r="C45" s="30">
        <v>43278</v>
      </c>
      <c r="D45" s="31" t="s">
        <v>89</v>
      </c>
      <c r="E45" s="45" t="s">
        <v>76</v>
      </c>
      <c r="F45" s="8" t="s">
        <v>67</v>
      </c>
      <c r="G45" s="89"/>
      <c r="H45" s="88"/>
      <c r="I45" s="8" t="s">
        <v>12</v>
      </c>
      <c r="J45" s="131"/>
      <c r="K45" s="195" t="s">
        <v>40</v>
      </c>
      <c r="L45" s="195"/>
      <c r="M45" s="196"/>
    </row>
    <row r="46" spans="1:13" ht="15" customHeight="1" x14ac:dyDescent="0.25">
      <c r="A46" s="128">
        <v>45</v>
      </c>
      <c r="B46" s="35" t="s">
        <v>43</v>
      </c>
      <c r="C46" s="30">
        <v>43279</v>
      </c>
      <c r="D46" s="31" t="s">
        <v>87</v>
      </c>
      <c r="E46" s="45" t="s">
        <v>55</v>
      </c>
      <c r="F46" s="8" t="s">
        <v>4</v>
      </c>
      <c r="G46" s="89"/>
      <c r="H46" s="88"/>
      <c r="I46" s="8" t="s">
        <v>13</v>
      </c>
      <c r="J46" s="131"/>
      <c r="K46" s="197" t="s">
        <v>39</v>
      </c>
      <c r="L46" s="197"/>
      <c r="M46" s="198"/>
    </row>
    <row r="47" spans="1:13" ht="15" customHeight="1" x14ac:dyDescent="0.25">
      <c r="A47" s="128">
        <v>46</v>
      </c>
      <c r="B47" s="35" t="s">
        <v>43</v>
      </c>
      <c r="C47" s="30">
        <v>43279</v>
      </c>
      <c r="D47" s="33" t="s">
        <v>88</v>
      </c>
      <c r="E47" s="46" t="s">
        <v>55</v>
      </c>
      <c r="F47" s="12" t="s">
        <v>70</v>
      </c>
      <c r="G47" s="89"/>
      <c r="H47" s="88"/>
      <c r="I47" s="12" t="s">
        <v>71</v>
      </c>
      <c r="J47" s="131"/>
      <c r="K47" s="199" t="s">
        <v>113</v>
      </c>
      <c r="L47" s="199"/>
      <c r="M47" s="200"/>
    </row>
    <row r="48" spans="1:13" x14ac:dyDescent="0.25">
      <c r="A48" s="128">
        <v>47</v>
      </c>
      <c r="B48" s="35" t="s">
        <v>43</v>
      </c>
      <c r="C48" s="30">
        <v>43279</v>
      </c>
      <c r="D48" s="31" t="s">
        <v>89</v>
      </c>
      <c r="E48" s="45" t="s">
        <v>76</v>
      </c>
      <c r="F48" s="8" t="s">
        <v>73</v>
      </c>
      <c r="G48" s="89"/>
      <c r="H48" s="88"/>
      <c r="I48" s="8" t="s">
        <v>8</v>
      </c>
      <c r="J48" s="131"/>
      <c r="K48" s="201"/>
      <c r="L48" s="201"/>
      <c r="M48" s="202"/>
    </row>
    <row r="49" spans="1:13" ht="15.75" thickBot="1" x14ac:dyDescent="0.3">
      <c r="A49" s="129">
        <v>48</v>
      </c>
      <c r="B49" s="36" t="s">
        <v>43</v>
      </c>
      <c r="C49" s="32">
        <v>43279</v>
      </c>
      <c r="D49" s="31" t="s">
        <v>89</v>
      </c>
      <c r="E49" s="45" t="s">
        <v>76</v>
      </c>
      <c r="F49" s="8" t="s">
        <v>74</v>
      </c>
      <c r="G49" s="78"/>
      <c r="H49" s="77"/>
      <c r="I49" s="8" t="s">
        <v>75</v>
      </c>
      <c r="J49" s="132"/>
      <c r="K49" s="215" t="s">
        <v>82</v>
      </c>
      <c r="L49" s="215"/>
      <c r="M49" s="216"/>
    </row>
    <row r="50" spans="1:13" ht="21" customHeight="1" thickBot="1" x14ac:dyDescent="0.3">
      <c r="A50" s="185" t="s">
        <v>47</v>
      </c>
      <c r="B50" s="186"/>
      <c r="C50" s="186"/>
      <c r="D50" s="186"/>
      <c r="E50" s="186"/>
      <c r="F50" s="186"/>
      <c r="G50" s="186"/>
      <c r="H50" s="186"/>
      <c r="I50" s="186"/>
      <c r="J50" s="187"/>
      <c r="K50" s="217"/>
      <c r="L50" s="215"/>
      <c r="M50" s="216"/>
    </row>
    <row r="51" spans="1:13" ht="15.75" thickBot="1" x14ac:dyDescent="0.3">
      <c r="A51" s="38">
        <v>1</v>
      </c>
      <c r="B51" s="160"/>
      <c r="C51" s="188"/>
      <c r="D51" s="133"/>
      <c r="E51" s="38">
        <v>2</v>
      </c>
      <c r="F51" s="18"/>
      <c r="G51" s="136"/>
      <c r="H51" s="38">
        <v>3</v>
      </c>
      <c r="I51" s="148"/>
      <c r="J51" s="139"/>
      <c r="K51" s="228"/>
      <c r="L51" s="229"/>
      <c r="M51" s="230"/>
    </row>
    <row r="52" spans="1:13" x14ac:dyDescent="0.25">
      <c r="A52" s="42">
        <v>4</v>
      </c>
      <c r="B52" s="153"/>
      <c r="C52" s="154"/>
      <c r="D52" s="134"/>
      <c r="E52" s="42">
        <v>5</v>
      </c>
      <c r="F52" s="15"/>
      <c r="G52" s="137"/>
      <c r="H52" s="42">
        <v>6</v>
      </c>
      <c r="I52" s="25"/>
      <c r="J52" s="140"/>
      <c r="K52" s="218" t="s">
        <v>83</v>
      </c>
      <c r="L52" s="219"/>
      <c r="M52" s="220"/>
    </row>
    <row r="53" spans="1:13" ht="15" customHeight="1" x14ac:dyDescent="0.25">
      <c r="A53" s="42">
        <v>7</v>
      </c>
      <c r="B53" s="153"/>
      <c r="C53" s="154"/>
      <c r="D53" s="134"/>
      <c r="E53" s="42">
        <v>8</v>
      </c>
      <c r="F53" s="149"/>
      <c r="G53" s="138"/>
      <c r="H53" s="43">
        <v>9</v>
      </c>
      <c r="I53" s="149"/>
      <c r="J53" s="140"/>
      <c r="K53" s="221"/>
      <c r="L53" s="222"/>
      <c r="M53" s="223"/>
    </row>
    <row r="54" spans="1:13" ht="15" customHeight="1" x14ac:dyDescent="0.25">
      <c r="A54" s="42">
        <v>10</v>
      </c>
      <c r="B54" s="153"/>
      <c r="C54" s="154"/>
      <c r="D54" s="134"/>
      <c r="E54" s="42">
        <v>11</v>
      </c>
      <c r="F54" s="149"/>
      <c r="G54" s="138"/>
      <c r="H54" s="42">
        <v>12</v>
      </c>
      <c r="I54" s="25"/>
      <c r="J54" s="141"/>
      <c r="K54" s="221"/>
      <c r="L54" s="222"/>
      <c r="M54" s="223"/>
    </row>
    <row r="55" spans="1:13" ht="15" customHeight="1" thickBot="1" x14ac:dyDescent="0.3">
      <c r="A55" s="42">
        <v>13</v>
      </c>
      <c r="B55" s="153"/>
      <c r="C55" s="154"/>
      <c r="D55" s="134"/>
      <c r="E55" s="42">
        <v>14</v>
      </c>
      <c r="F55" s="149"/>
      <c r="G55" s="138"/>
      <c r="H55" s="42">
        <v>15</v>
      </c>
      <c r="I55" s="149"/>
      <c r="J55" s="141"/>
      <c r="K55" s="224"/>
      <c r="L55" s="225"/>
      <c r="M55" s="226"/>
    </row>
    <row r="56" spans="1:13" ht="15.75" customHeight="1" thickBot="1" x14ac:dyDescent="0.3">
      <c r="A56" s="41">
        <v>16</v>
      </c>
      <c r="B56" s="171"/>
      <c r="C56" s="179"/>
      <c r="D56" s="135"/>
      <c r="E56" s="189"/>
      <c r="F56" s="190"/>
      <c r="G56" s="190"/>
      <c r="H56" s="190"/>
      <c r="I56" s="190"/>
      <c r="J56" s="191"/>
      <c r="K56" s="209" t="s">
        <v>114</v>
      </c>
      <c r="L56" s="210"/>
      <c r="M56" s="211"/>
    </row>
    <row r="57" spans="1:13" ht="21.75" customHeight="1" thickBot="1" x14ac:dyDescent="0.3">
      <c r="A57" s="180" t="s">
        <v>46</v>
      </c>
      <c r="B57" s="181"/>
      <c r="C57" s="181"/>
      <c r="D57" s="181"/>
      <c r="E57" s="181"/>
      <c r="F57" s="181"/>
      <c r="G57" s="181"/>
      <c r="H57" s="181"/>
      <c r="I57" s="181"/>
      <c r="J57" s="182"/>
      <c r="K57" s="212" t="s">
        <v>94</v>
      </c>
      <c r="L57" s="213"/>
      <c r="M57" s="214"/>
    </row>
    <row r="58" spans="1:13" ht="15" customHeight="1" x14ac:dyDescent="0.25">
      <c r="A58" s="34">
        <v>1</v>
      </c>
      <c r="B58" s="183"/>
      <c r="C58" s="184"/>
      <c r="D58" s="130"/>
      <c r="E58" s="34">
        <v>2</v>
      </c>
      <c r="F58" s="19"/>
      <c r="G58" s="130"/>
      <c r="H58" s="34">
        <v>3</v>
      </c>
      <c r="I58" s="20"/>
      <c r="J58" s="142"/>
      <c r="K58" s="212" t="s">
        <v>93</v>
      </c>
      <c r="L58" s="213"/>
      <c r="M58" s="214"/>
    </row>
    <row r="59" spans="1:13" ht="15" customHeight="1" x14ac:dyDescent="0.25">
      <c r="A59" s="35">
        <v>4</v>
      </c>
      <c r="B59" s="153"/>
      <c r="C59" s="154"/>
      <c r="D59" s="131"/>
      <c r="E59" s="35">
        <v>5</v>
      </c>
      <c r="F59" s="21"/>
      <c r="G59" s="132"/>
      <c r="H59" s="36">
        <v>6</v>
      </c>
      <c r="I59" s="22"/>
      <c r="J59" s="141"/>
      <c r="K59" s="209"/>
      <c r="L59" s="195"/>
      <c r="M59" s="196"/>
    </row>
    <row r="60" spans="1:13" ht="15" customHeight="1" thickBot="1" x14ac:dyDescent="0.3">
      <c r="A60" s="36">
        <v>7</v>
      </c>
      <c r="B60" s="155"/>
      <c r="C60" s="156"/>
      <c r="D60" s="137"/>
      <c r="E60" s="37">
        <v>8</v>
      </c>
      <c r="F60" s="23"/>
      <c r="G60" s="132"/>
      <c r="H60" s="150"/>
      <c r="I60" s="151"/>
      <c r="J60" s="152"/>
      <c r="K60" s="209"/>
      <c r="L60" s="195"/>
      <c r="M60" s="196"/>
    </row>
    <row r="61" spans="1:13" ht="21" customHeight="1" thickBot="1" x14ac:dyDescent="0.3">
      <c r="A61" s="157" t="s">
        <v>48</v>
      </c>
      <c r="B61" s="158"/>
      <c r="C61" s="158"/>
      <c r="D61" s="158"/>
      <c r="E61" s="158"/>
      <c r="F61" s="158"/>
      <c r="G61" s="158"/>
      <c r="H61" s="158"/>
      <c r="I61" s="158"/>
      <c r="J61" s="159"/>
      <c r="K61" s="227" t="s">
        <v>116</v>
      </c>
      <c r="L61" s="213"/>
      <c r="M61" s="214"/>
    </row>
    <row r="62" spans="1:13" ht="15.75" thickBot="1" x14ac:dyDescent="0.3">
      <c r="A62" s="38">
        <v>1</v>
      </c>
      <c r="B62" s="160"/>
      <c r="C62" s="161"/>
      <c r="D62" s="143"/>
      <c r="E62" s="38">
        <v>2</v>
      </c>
      <c r="F62" s="18"/>
      <c r="G62" s="130"/>
      <c r="H62" s="39">
        <v>3</v>
      </c>
      <c r="I62" s="20"/>
      <c r="J62" s="142"/>
      <c r="K62" s="212"/>
      <c r="L62" s="213"/>
      <c r="M62" s="214"/>
    </row>
    <row r="63" spans="1:13" ht="15.75" thickBot="1" x14ac:dyDescent="0.3">
      <c r="A63" s="41">
        <v>4</v>
      </c>
      <c r="B63" s="171"/>
      <c r="C63" s="172"/>
      <c r="D63" s="144"/>
      <c r="E63" s="173"/>
      <c r="F63" s="174"/>
      <c r="G63" s="174"/>
      <c r="H63" s="174"/>
      <c r="I63" s="174"/>
      <c r="J63" s="175"/>
      <c r="K63" s="203" t="s">
        <v>41</v>
      </c>
      <c r="L63" s="204"/>
      <c r="M63" s="205"/>
    </row>
    <row r="64" spans="1:13" ht="19.5" customHeight="1" thickBot="1" x14ac:dyDescent="0.3">
      <c r="A64" s="176" t="s">
        <v>49</v>
      </c>
      <c r="B64" s="177"/>
      <c r="C64" s="177"/>
      <c r="D64" s="177"/>
      <c r="E64" s="177"/>
      <c r="F64" s="177"/>
      <c r="G64" s="177"/>
      <c r="H64" s="177"/>
      <c r="I64" s="177"/>
      <c r="J64" s="178"/>
      <c r="K64" s="206" t="s">
        <v>115</v>
      </c>
      <c r="L64" s="207"/>
      <c r="M64" s="208"/>
    </row>
    <row r="65" spans="1:13" ht="15.75" customHeight="1" thickBot="1" x14ac:dyDescent="0.3">
      <c r="A65" s="47">
        <v>1</v>
      </c>
      <c r="B65" s="165"/>
      <c r="C65" s="166"/>
      <c r="D65" s="166"/>
      <c r="E65" s="145"/>
      <c r="F65" s="24"/>
      <c r="G65" s="40">
        <v>2</v>
      </c>
      <c r="H65" s="167"/>
      <c r="I65" s="168"/>
      <c r="J65" s="146"/>
      <c r="K65" s="192" t="s">
        <v>118</v>
      </c>
      <c r="L65" s="193"/>
      <c r="M65" s="194"/>
    </row>
    <row r="66" spans="1:13" ht="21" customHeight="1" thickBot="1" x14ac:dyDescent="0.3">
      <c r="A66" s="162" t="s">
        <v>32</v>
      </c>
      <c r="B66" s="163"/>
      <c r="C66" s="163"/>
      <c r="D66" s="163"/>
      <c r="E66" s="163"/>
      <c r="F66" s="163"/>
      <c r="G66" s="163"/>
      <c r="H66" s="163"/>
      <c r="I66" s="163"/>
      <c r="J66" s="164"/>
      <c r="K66" s="261" t="s">
        <v>119</v>
      </c>
      <c r="L66" s="262"/>
      <c r="M66" s="263"/>
    </row>
    <row r="67" spans="1:13" ht="24.75" customHeight="1" thickBot="1" x14ac:dyDescent="0.3">
      <c r="A67" s="169"/>
      <c r="B67" s="170"/>
      <c r="C67" s="170"/>
      <c r="D67" s="170"/>
      <c r="E67" s="170"/>
      <c r="F67" s="170"/>
      <c r="G67" s="170"/>
      <c r="H67" s="170"/>
      <c r="I67" s="170"/>
      <c r="J67" s="147"/>
      <c r="K67" s="264" t="s">
        <v>42</v>
      </c>
      <c r="L67" s="265"/>
      <c r="M67" s="266"/>
    </row>
    <row r="68" spans="1:13" x14ac:dyDescent="0.25">
      <c r="A68" s="9"/>
      <c r="B68" s="16"/>
      <c r="C68" s="9"/>
      <c r="D68" s="9"/>
      <c r="E68" s="10"/>
      <c r="F68" s="9"/>
      <c r="G68" s="13"/>
      <c r="H68" s="10"/>
      <c r="I68" s="10"/>
      <c r="J68" s="14"/>
      <c r="K68" s="2"/>
      <c r="L68" s="2"/>
      <c r="M68" s="2"/>
    </row>
    <row r="69" spans="1:13" x14ac:dyDescent="0.25">
      <c r="K69" s="2"/>
      <c r="L69" s="2"/>
      <c r="M69" s="2"/>
    </row>
    <row r="70" spans="1:13" x14ac:dyDescent="0.25">
      <c r="K70" s="2"/>
      <c r="L70" s="3"/>
      <c r="M70" s="2"/>
    </row>
    <row r="71" spans="1:13" x14ac:dyDescent="0.25">
      <c r="K71" s="4"/>
      <c r="L71" s="2"/>
    </row>
    <row r="72" spans="1:13" x14ac:dyDescent="0.25">
      <c r="K72" s="2"/>
      <c r="L72" s="2"/>
      <c r="M72" s="2"/>
    </row>
    <row r="73" spans="1:13" x14ac:dyDescent="0.25">
      <c r="K73" s="2"/>
      <c r="L73" s="2"/>
      <c r="M73" s="2"/>
    </row>
    <row r="74" spans="1:13" x14ac:dyDescent="0.25">
      <c r="K74" s="2"/>
      <c r="L74" s="3"/>
      <c r="M74" s="2"/>
    </row>
    <row r="75" spans="1:13" x14ac:dyDescent="0.25">
      <c r="K75" s="4"/>
      <c r="L75" s="2"/>
      <c r="M75" s="2"/>
    </row>
    <row r="76" spans="1:13" x14ac:dyDescent="0.25">
      <c r="K76" s="2"/>
      <c r="L76" s="2"/>
      <c r="M76" s="2"/>
    </row>
    <row r="77" spans="1:13" x14ac:dyDescent="0.25">
      <c r="K77" s="2"/>
      <c r="L77" s="5"/>
      <c r="M77" s="2"/>
    </row>
    <row r="78" spans="1:13" x14ac:dyDescent="0.25">
      <c r="K78" s="6"/>
      <c r="L78" s="2"/>
      <c r="M78" s="2"/>
    </row>
    <row r="79" spans="1:13" x14ac:dyDescent="0.25">
      <c r="K79" s="2"/>
      <c r="L79" s="5"/>
      <c r="M79" s="2"/>
    </row>
    <row r="80" spans="1:13" x14ac:dyDescent="0.25">
      <c r="K80" s="6"/>
      <c r="L80" s="2"/>
      <c r="M80" s="2"/>
    </row>
    <row r="81" spans="11:12" x14ac:dyDescent="0.25">
      <c r="K81" s="2"/>
      <c r="L81" s="2"/>
    </row>
  </sheetData>
  <mergeCells count="81">
    <mergeCell ref="K66:M66"/>
    <mergeCell ref="K67:M67"/>
    <mergeCell ref="K6:M7"/>
    <mergeCell ref="K8:M9"/>
    <mergeCell ref="K10:M10"/>
    <mergeCell ref="K11:M11"/>
    <mergeCell ref="K20:M20"/>
    <mergeCell ref="K21:M21"/>
    <mergeCell ref="K12:M12"/>
    <mergeCell ref="K13:M13"/>
    <mergeCell ref="K14:M14"/>
    <mergeCell ref="K15:M15"/>
    <mergeCell ref="K16:M16"/>
    <mergeCell ref="K17:M19"/>
    <mergeCell ref="K22:M22"/>
    <mergeCell ref="K23:M23"/>
    <mergeCell ref="B1:I1"/>
    <mergeCell ref="K1:M1"/>
    <mergeCell ref="L2:M3"/>
    <mergeCell ref="L4:M5"/>
    <mergeCell ref="K2:K3"/>
    <mergeCell ref="K4:K5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43:M43"/>
    <mergeCell ref="K41:M41"/>
    <mergeCell ref="K44:M44"/>
    <mergeCell ref="K37:M37"/>
    <mergeCell ref="K38:M38"/>
    <mergeCell ref="K39:M39"/>
    <mergeCell ref="K40:M40"/>
    <mergeCell ref="K42:M42"/>
    <mergeCell ref="K65:M65"/>
    <mergeCell ref="K45:M45"/>
    <mergeCell ref="K46:M46"/>
    <mergeCell ref="K47:M47"/>
    <mergeCell ref="K48:M48"/>
    <mergeCell ref="K63:M63"/>
    <mergeCell ref="K64:M64"/>
    <mergeCell ref="K56:M56"/>
    <mergeCell ref="K57:M57"/>
    <mergeCell ref="K49:M50"/>
    <mergeCell ref="K52:M55"/>
    <mergeCell ref="K61:M61"/>
    <mergeCell ref="K62:M62"/>
    <mergeCell ref="K51:M51"/>
    <mergeCell ref="K58:M58"/>
    <mergeCell ref="K59:M60"/>
    <mergeCell ref="B56:C56"/>
    <mergeCell ref="A57:J57"/>
    <mergeCell ref="B58:C58"/>
    <mergeCell ref="A50:J50"/>
    <mergeCell ref="B51:C51"/>
    <mergeCell ref="B52:C52"/>
    <mergeCell ref="B53:C53"/>
    <mergeCell ref="E56:J56"/>
    <mergeCell ref="B54:C54"/>
    <mergeCell ref="B55:C55"/>
    <mergeCell ref="A66:J66"/>
    <mergeCell ref="B65:D65"/>
    <mergeCell ref="H65:I65"/>
    <mergeCell ref="A67:I67"/>
    <mergeCell ref="B63:C63"/>
    <mergeCell ref="E63:J63"/>
    <mergeCell ref="A64:J64"/>
    <mergeCell ref="H60:J60"/>
    <mergeCell ref="B59:C59"/>
    <mergeCell ref="B60:C60"/>
    <mergeCell ref="A61:J61"/>
    <mergeCell ref="B62:C62"/>
  </mergeCells>
  <conditionalFormatting sqref="G2:G49">
    <cfRule type="expression" dxfId="101" priority="1" stopIfTrue="1">
      <formula>IF(AND($F2&gt;$G2,ISNUMBER($F2),ISNUMBER($G2)),1,0)</formula>
    </cfRule>
  </conditionalFormatting>
  <conditionalFormatting sqref="H2:H49">
    <cfRule type="expression" dxfId="100" priority="2" stopIfTrue="1">
      <formula>IF(AND($F2&lt;$G2,ISNUMBER($F2),ISNUMBER($G2)),1,0)</formula>
    </cfRule>
  </conditionalFormatting>
  <dataValidations count="1">
    <dataValidation type="list" allowBlank="1" showInputMessage="1" showErrorMessage="1" sqref="O64:P64 O57:P62 G2:H49">
      <formula1>"0,1,2,3,4,5,6,7,8,9"</formula1>
    </dataValidation>
  </dataValidations>
  <hyperlinks>
    <hyperlink ref="K57" r:id="rId1"/>
    <hyperlink ref="K58" r:id="rId2"/>
  </hyperlinks>
  <pageMargins left="0.39370078740157483" right="0" top="0" bottom="0" header="0" footer="0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T97"/>
  <sheetViews>
    <sheetView showGridLines="0" topLeftCell="E36" zoomScaleNormal="100" workbookViewId="0">
      <selection activeCell="H56" sqref="H56"/>
    </sheetView>
  </sheetViews>
  <sheetFormatPr defaultRowHeight="15" x14ac:dyDescent="0.25"/>
  <cols>
    <col min="1" max="1" width="4.85546875" style="64" customWidth="1"/>
    <col min="2" max="2" width="6.140625" style="64" customWidth="1"/>
    <col min="3" max="3" width="11.7109375" style="64" bestFit="1" customWidth="1"/>
    <col min="4" max="4" width="7.28515625" style="63" customWidth="1"/>
    <col min="5" max="5" width="22.5703125" style="62" customWidth="1"/>
    <col min="6" max="7" width="4.28515625" style="61" customWidth="1"/>
    <col min="8" max="8" width="22.5703125" style="60" customWidth="1"/>
    <col min="9" max="9" width="3.42578125" style="48" customWidth="1"/>
    <col min="10" max="10" width="14" style="59" customWidth="1"/>
    <col min="11" max="14" width="5.42578125" style="58" customWidth="1"/>
    <col min="15" max="15" width="7.7109375" style="58" customWidth="1"/>
    <col min="16" max="16" width="6.7109375" style="58" customWidth="1"/>
    <col min="17" max="17" width="3.42578125" style="57" customWidth="1"/>
    <col min="18" max="18" width="15.42578125" style="55" hidden="1" customWidth="1"/>
    <col min="19" max="20" width="16" style="56" hidden="1" customWidth="1"/>
    <col min="21" max="21" width="5" style="54" hidden="1" customWidth="1"/>
    <col min="22" max="25" width="6.140625" style="55" hidden="1" customWidth="1"/>
    <col min="26" max="26" width="4.28515625" style="54" hidden="1" customWidth="1"/>
    <col min="27" max="27" width="5.42578125" style="55" hidden="1" customWidth="1"/>
    <col min="28" max="28" width="13.42578125" style="54" hidden="1" customWidth="1"/>
    <col min="29" max="33" width="5.42578125" style="55" hidden="1" customWidth="1"/>
    <col min="34" max="36" width="6" style="55" hidden="1" customWidth="1"/>
    <col min="37" max="37" width="5.42578125" style="55" hidden="1" customWidth="1"/>
    <col min="38" max="38" width="6" style="55" hidden="1" customWidth="1"/>
    <col min="39" max="39" width="7.140625" style="54" hidden="1" customWidth="1"/>
    <col min="40" max="40" width="10" style="54" hidden="1" customWidth="1"/>
    <col min="41" max="41" width="15.28515625" style="53" hidden="1" customWidth="1"/>
    <col min="42" max="42" width="4.7109375" style="52" hidden="1" customWidth="1"/>
    <col min="43" max="46" width="4.7109375" style="51" hidden="1" customWidth="1"/>
    <col min="47" max="49" width="9.140625" style="50" hidden="1" customWidth="1"/>
    <col min="50" max="50" width="9.140625" style="49" hidden="1" customWidth="1"/>
    <col min="51" max="51" width="3.28515625" style="48" customWidth="1"/>
    <col min="52" max="52" width="19.7109375" style="48" customWidth="1"/>
    <col min="53" max="54" width="3" style="48" customWidth="1"/>
    <col min="55" max="56" width="2" style="48" customWidth="1"/>
    <col min="57" max="57" width="3.28515625" style="48" customWidth="1"/>
    <col min="58" max="58" width="19.7109375" style="48" customWidth="1"/>
    <col min="59" max="60" width="3" style="48" customWidth="1"/>
    <col min="61" max="62" width="2" style="48" customWidth="1"/>
    <col min="63" max="63" width="3.28515625" style="48" customWidth="1"/>
    <col min="64" max="64" width="19.7109375" style="48" customWidth="1"/>
    <col min="65" max="66" width="3" style="48" customWidth="1"/>
    <col min="67" max="68" width="2" style="48" customWidth="1"/>
    <col min="69" max="69" width="3.28515625" style="48" customWidth="1"/>
    <col min="70" max="70" width="19.7109375" style="48" customWidth="1"/>
    <col min="71" max="72" width="3" style="48" customWidth="1"/>
    <col min="73" max="16384" width="9.140625" style="48"/>
  </cols>
  <sheetData>
    <row r="1" spans="1:72" ht="46.5" x14ac:dyDescent="0.25">
      <c r="A1" s="288" t="str">
        <f>INDEX(T,2,lang)</f>
        <v>2018 World Cup Final Tournament Schedule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S1" s="55"/>
      <c r="T1" s="55"/>
      <c r="U1" s="55"/>
      <c r="Z1" s="55"/>
      <c r="AB1" s="55"/>
      <c r="AD1" s="54"/>
      <c r="AE1" s="54"/>
      <c r="AF1" s="53"/>
      <c r="AG1" s="52"/>
      <c r="AH1" s="51"/>
      <c r="AI1" s="51"/>
      <c r="AJ1" s="51"/>
      <c r="AK1" s="51"/>
      <c r="AL1" s="50"/>
      <c r="AM1" s="50"/>
      <c r="AN1" s="50"/>
      <c r="AO1" s="50"/>
      <c r="AP1" s="50"/>
      <c r="AQ1" s="50"/>
      <c r="AR1" s="50"/>
      <c r="AS1" s="50"/>
      <c r="AT1" s="50"/>
    </row>
    <row r="2" spans="1:72" ht="3" customHeight="1" x14ac:dyDescent="0.25">
      <c r="S2" s="55"/>
      <c r="T2" s="55"/>
      <c r="U2" s="55"/>
      <c r="Z2" s="55"/>
      <c r="AB2" s="55"/>
      <c r="AD2" s="54"/>
      <c r="AE2" s="54"/>
      <c r="AF2" s="53"/>
      <c r="AG2" s="52"/>
      <c r="AH2" s="51"/>
      <c r="AI2" s="51"/>
      <c r="AJ2" s="51"/>
      <c r="AK2" s="51"/>
      <c r="AL2" s="50"/>
      <c r="AM2" s="50"/>
      <c r="AN2" s="50"/>
      <c r="AO2" s="50"/>
      <c r="AP2" s="50"/>
      <c r="AQ2" s="50"/>
      <c r="AR2" s="50"/>
      <c r="AS2" s="50"/>
      <c r="AT2" s="50"/>
    </row>
    <row r="3" spans="1:72" ht="12.7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289" t="str">
        <f>"Language: " &amp; [1]Settings!C4</f>
        <v>Language: English</v>
      </c>
      <c r="P3" s="289"/>
      <c r="S3" s="55"/>
      <c r="T3" s="55"/>
      <c r="U3" s="55"/>
      <c r="Z3" s="55"/>
      <c r="AB3" s="55"/>
      <c r="AD3" s="54"/>
      <c r="AE3" s="54"/>
      <c r="AF3" s="53"/>
      <c r="AG3" s="52"/>
      <c r="AH3" s="51"/>
      <c r="AI3" s="51"/>
      <c r="AJ3" s="51"/>
      <c r="AK3" s="51"/>
      <c r="AL3" s="50"/>
      <c r="AM3" s="50"/>
      <c r="AN3" s="50"/>
      <c r="AO3" s="50"/>
      <c r="AP3" s="50"/>
      <c r="AQ3" s="50"/>
      <c r="AR3" s="50"/>
      <c r="AS3" s="50"/>
      <c r="AT3" s="50"/>
    </row>
    <row r="4" spans="1:72" ht="3" customHeight="1" x14ac:dyDescent="0.25"/>
    <row r="5" spans="1:72" ht="15" customHeight="1" x14ac:dyDescent="0.25">
      <c r="A5" s="290" t="str">
        <f>INDEX(T,3,lang)</f>
        <v>Group Stage</v>
      </c>
      <c r="B5" s="291"/>
      <c r="C5" s="291"/>
      <c r="D5" s="291"/>
      <c r="E5" s="291"/>
      <c r="F5" s="291"/>
      <c r="G5" s="291"/>
      <c r="H5" s="292"/>
      <c r="J5" s="296" t="s">
        <v>111</v>
      </c>
      <c r="K5" s="297"/>
      <c r="L5" s="297"/>
      <c r="M5" s="297"/>
      <c r="N5" s="297"/>
      <c r="O5" s="297"/>
      <c r="P5" s="298"/>
    </row>
    <row r="6" spans="1:72" ht="15" customHeight="1" x14ac:dyDescent="0.25">
      <c r="A6" s="293"/>
      <c r="B6" s="294"/>
      <c r="C6" s="294"/>
      <c r="D6" s="294"/>
      <c r="E6" s="294"/>
      <c r="F6" s="294"/>
      <c r="G6" s="294"/>
      <c r="H6" s="295"/>
      <c r="J6" s="299"/>
      <c r="K6" s="300"/>
      <c r="L6" s="300"/>
      <c r="M6" s="300"/>
      <c r="N6" s="300"/>
      <c r="O6" s="300"/>
      <c r="P6" s="301"/>
      <c r="R6" s="55" t="s">
        <v>110</v>
      </c>
      <c r="V6" s="55" t="s">
        <v>99</v>
      </c>
      <c r="W6" s="55" t="s">
        <v>98</v>
      </c>
      <c r="AA6" s="55" t="s">
        <v>109</v>
      </c>
      <c r="AB6" s="55" t="s">
        <v>108</v>
      </c>
      <c r="AC6" s="55" t="s">
        <v>101</v>
      </c>
      <c r="AD6" s="55" t="s">
        <v>100</v>
      </c>
      <c r="AE6" s="55" t="s">
        <v>107</v>
      </c>
      <c r="AF6" s="55" t="s">
        <v>99</v>
      </c>
      <c r="AG6" s="55" t="s">
        <v>98</v>
      </c>
      <c r="AH6" s="55" t="s">
        <v>106</v>
      </c>
      <c r="AI6" s="55" t="s">
        <v>106</v>
      </c>
      <c r="AK6" s="55" t="s">
        <v>105</v>
      </c>
      <c r="AL6" s="55" t="s">
        <v>104</v>
      </c>
      <c r="AM6" s="55" t="s">
        <v>103</v>
      </c>
      <c r="AN6" s="55" t="s">
        <v>102</v>
      </c>
      <c r="AP6" s="52" t="s">
        <v>101</v>
      </c>
      <c r="AQ6" s="51" t="s">
        <v>100</v>
      </c>
      <c r="AR6" s="51" t="s">
        <v>99</v>
      </c>
      <c r="AS6" s="51" t="s">
        <v>98</v>
      </c>
      <c r="AT6" s="51" t="s">
        <v>97</v>
      </c>
      <c r="AY6" s="282" t="str">
        <f>INDEX(T,4,lang)</f>
        <v>Round of 16</v>
      </c>
      <c r="AZ6" s="283"/>
      <c r="BA6" s="283"/>
      <c r="BB6" s="284"/>
      <c r="BE6" s="282" t="str">
        <f>INDEX(T,5,lang)</f>
        <v>Quarterfinals</v>
      </c>
      <c r="BF6" s="283"/>
      <c r="BG6" s="283"/>
      <c r="BH6" s="284"/>
      <c r="BK6" s="282" t="str">
        <f>INDEX(T,6,lang)</f>
        <v>Semi-Finals</v>
      </c>
      <c r="BL6" s="283"/>
      <c r="BM6" s="283"/>
      <c r="BN6" s="284"/>
      <c r="BQ6" s="282" t="str">
        <f>INDEX(T,8,lang)</f>
        <v>Final</v>
      </c>
      <c r="BR6" s="283"/>
      <c r="BS6" s="283"/>
      <c r="BT6" s="284"/>
    </row>
    <row r="7" spans="1:72" ht="15" customHeight="1" x14ac:dyDescent="0.25">
      <c r="A7" s="125">
        <v>1</v>
      </c>
      <c r="B7" s="124" t="str">
        <f t="shared" ref="B7:B54" si="0">INDEX(T,18+INT(MOD(R7-1,7)),lang)</f>
        <v>Thu</v>
      </c>
      <c r="C7" s="123" t="str">
        <f t="shared" ref="C7:C54" si="1">INDEX(T,24+MONTH(R7),lang) &amp; " " &amp; DAY(R7) &amp; ", " &amp; YEAR(R7)</f>
        <v>Jun 14, 2018</v>
      </c>
      <c r="D7" s="122">
        <f t="shared" ref="D7:D54" si="2">TIME(HOUR(R7),MINUTE(R7),0)</f>
        <v>0.625</v>
      </c>
      <c r="E7" s="121" t="str">
        <f>AB8</f>
        <v>Russia</v>
      </c>
      <c r="F7" s="120"/>
      <c r="G7" s="119"/>
      <c r="H7" s="118" t="str">
        <f>AB9</f>
        <v>Saudi Arabia</v>
      </c>
      <c r="R7" s="55">
        <f>DATE(2018,6,14)+TIME(4,0,0)+gmt_delta</f>
        <v>43265.625</v>
      </c>
      <c r="S7" s="56" t="str">
        <f t="shared" ref="S7:S54" si="3">IF(OR(F7="",G7=""),"",IF(F7&gt;G7,E7&amp;"_win",IF(F7&lt;G7,E7&amp;"_lose",E7&amp;"_draw")))</f>
        <v/>
      </c>
      <c r="T7" s="56" t="str">
        <f t="shared" ref="T7:T54" si="4">IF(S7="","",IF(F7&lt;G7,H7&amp;"_win",IF(F7&gt;G7,H7&amp;"_lose",H7&amp;"_draw")))</f>
        <v/>
      </c>
      <c r="U7" s="54">
        <f t="shared" ref="U7:U54" si="5">IF(S7="",0,IF(VLOOKUP(E7,$AB$8:$AK$53,7,FALSE)=VLOOKUP(H7,$AB$8:$AK$53,7,FALSE),1,0))</f>
        <v>0</v>
      </c>
      <c r="V7" s="55">
        <f t="shared" ref="V7:V54" si="6">U7*F7</f>
        <v>0</v>
      </c>
      <c r="W7" s="55">
        <f t="shared" ref="W7:W54" si="7">U7*G7</f>
        <v>0</v>
      </c>
      <c r="X7" s="55">
        <f t="shared" ref="X7:X54" si="8">IF(OR(E7=my_team,H7=my_team),1,0)</f>
        <v>0</v>
      </c>
      <c r="Y7" s="55" t="str">
        <f t="shared" ref="Y7:Y54" si="9">IF(OR(F7="",G7=""),"",IF(F7&gt;G7,1,IF(F7&lt;G7,-1,0)))</f>
        <v/>
      </c>
      <c r="AY7" s="285"/>
      <c r="AZ7" s="286"/>
      <c r="BA7" s="286"/>
      <c r="BB7" s="287"/>
      <c r="BE7" s="285"/>
      <c r="BF7" s="286"/>
      <c r="BG7" s="286"/>
      <c r="BH7" s="287"/>
      <c r="BK7" s="285"/>
      <c r="BL7" s="286"/>
      <c r="BM7" s="286"/>
      <c r="BN7" s="287"/>
      <c r="BQ7" s="285"/>
      <c r="BR7" s="286"/>
      <c r="BS7" s="286"/>
      <c r="BT7" s="287"/>
    </row>
    <row r="8" spans="1:72" ht="15" customHeight="1" x14ac:dyDescent="0.25">
      <c r="A8" s="94">
        <v>2</v>
      </c>
      <c r="B8" s="93" t="str">
        <f t="shared" si="0"/>
        <v>Fri</v>
      </c>
      <c r="C8" s="92" t="str">
        <f t="shared" si="1"/>
        <v>Jun 15, 2018</v>
      </c>
      <c r="D8" s="91">
        <f t="shared" si="2"/>
        <v>0.5</v>
      </c>
      <c r="E8" s="90" t="str">
        <f>AB10</f>
        <v>Egypt</v>
      </c>
      <c r="F8" s="89"/>
      <c r="G8" s="88"/>
      <c r="H8" s="87" t="str">
        <f>AB11</f>
        <v>Uruguay</v>
      </c>
      <c r="J8" s="100" t="str">
        <f>INDEX(T,9,lang) &amp; " " &amp; "A"</f>
        <v>Group A</v>
      </c>
      <c r="K8" s="99" t="str">
        <f>INDEX(T,10,lang)</f>
        <v>PL</v>
      </c>
      <c r="L8" s="99" t="str">
        <f>INDEX(T,11,lang)</f>
        <v>W</v>
      </c>
      <c r="M8" s="99" t="str">
        <f>INDEX(T,12,lang)</f>
        <v>DRAW</v>
      </c>
      <c r="N8" s="99" t="str">
        <f>INDEX(T,13,lang)</f>
        <v>L</v>
      </c>
      <c r="O8" s="99" t="str">
        <f>INDEX(T,14,lang)</f>
        <v>GF - GA</v>
      </c>
      <c r="P8" s="98" t="str">
        <f>INDEX(T,15,lang)</f>
        <v>PNT</v>
      </c>
      <c r="R8" s="55">
        <f>DATE(2018,6,15)+TIME(1,0,0)+gmt_delta</f>
        <v>43266.5</v>
      </c>
      <c r="S8" s="56" t="str">
        <f t="shared" si="3"/>
        <v/>
      </c>
      <c r="T8" s="56" t="str">
        <f t="shared" si="4"/>
        <v/>
      </c>
      <c r="U8" s="54">
        <f t="shared" si="5"/>
        <v>0</v>
      </c>
      <c r="V8" s="55">
        <f t="shared" si="6"/>
        <v>0</v>
      </c>
      <c r="W8" s="55">
        <f t="shared" si="7"/>
        <v>0</v>
      </c>
      <c r="X8" s="55">
        <f t="shared" si="8"/>
        <v>0</v>
      </c>
      <c r="Y8" s="55" t="str">
        <f t="shared" si="9"/>
        <v/>
      </c>
      <c r="AA8" s="55">
        <f>COUNTIF(AN8:AN11,CONCATENATE("&gt;=",AN8))</f>
        <v>4</v>
      </c>
      <c r="AB8" s="54" t="str">
        <f>VLOOKUP("Russia",T,lang,FALSE)</f>
        <v>Russia</v>
      </c>
      <c r="AC8" s="55">
        <f>COUNTIF($S$7:$T$54,"=" &amp; AB8 &amp; "_win")</f>
        <v>0</v>
      </c>
      <c r="AD8" s="55">
        <f>COUNTIF($S$7:$T$54,"=" &amp; AB8 &amp; "_draw")</f>
        <v>0</v>
      </c>
      <c r="AE8" s="55">
        <f>COUNTIF($S$7:$T$54,"=" &amp; AB8 &amp; "_lose")</f>
        <v>0</v>
      </c>
      <c r="AF8" s="55">
        <f>SUMIF($E$7:$E$54,$AB8,$F$7:$F$54) + SUMIF($H$7:$H$54,$AB8,$G$7:$G$54)</f>
        <v>0</v>
      </c>
      <c r="AG8" s="55">
        <f>SUMIF($E$7:$E$54,$AB8,$G$7:$G$54) + SUMIF($H$7:$H$54,$AB8,$F$7:$F$54)</f>
        <v>0</v>
      </c>
      <c r="AH8" s="55">
        <f>(AF8-AG8)+1</f>
        <v>1</v>
      </c>
      <c r="AI8" s="55">
        <f>AF8-AG8</f>
        <v>0</v>
      </c>
      <c r="AJ8" s="55">
        <f>(AI8-AI13)/AI12</f>
        <v>0</v>
      </c>
      <c r="AK8" s="55">
        <f>AC8*3+AD8</f>
        <v>0</v>
      </c>
      <c r="AL8" s="55">
        <f>AP8/AP12*1000+AQ8/AQ12*100+AT8/AT12*10+AR8/AR12</f>
        <v>0</v>
      </c>
      <c r="AM8" s="55">
        <f>VLOOKUP(AB8,db_fifarank,2,FALSE)/2000000</f>
        <v>2.6699999999999998E-4</v>
      </c>
      <c r="AN8" s="54">
        <f>1000*AK8/AK12+100*AJ8+10*AF8/AF12+1*AL8/AL12+AM8</f>
        <v>2.6699999999999998E-4</v>
      </c>
      <c r="AO8" s="53" t="str">
        <f>IF(SUM(AC8:AE11)=12,J9,INDEX(T,70,lang))</f>
        <v>1A</v>
      </c>
      <c r="AP8" s="52">
        <f>SUMPRODUCT(($S$7:$S$54=AB8&amp;"_win")*($U$7:$U$54))+SUMPRODUCT(($T$7:$T$54=AB8&amp;"_win")*($U$7:$U$54))</f>
        <v>0</v>
      </c>
      <c r="AQ8" s="51">
        <f>SUMPRODUCT(($S$7:$S$54=AB8&amp;"_draw")*($U$7:$U$54))+SUMPRODUCT(($T$7:$T$54=AB8&amp;"_draw")*($U$7:$U$54))</f>
        <v>0</v>
      </c>
      <c r="AR8" s="51">
        <f>SUMPRODUCT(($E$7:$E$54=AB8)*($U$7:$U$54)*($F$7:$F$54))+SUMPRODUCT(($H$7:$H$54=AB8)*($U$7:$U$54)*($G$7:$G$54))</f>
        <v>0</v>
      </c>
      <c r="AS8" s="51">
        <f>SUMPRODUCT(($E$7:$E$54=AB8)*($U$7:$U$54)*($G$7:$G$54))+SUMPRODUCT(($H$7:$H$54=AB8)*($U$7:$U$54)*($F$7:$F$54))</f>
        <v>0</v>
      </c>
      <c r="AT8" s="51">
        <f>AR8-AS8</f>
        <v>0</v>
      </c>
      <c r="BF8" s="102"/>
      <c r="BG8" s="102"/>
      <c r="BL8" s="102"/>
      <c r="BM8" s="102"/>
      <c r="BN8" s="102"/>
      <c r="BO8" s="102"/>
      <c r="BP8" s="102"/>
      <c r="BQ8" s="102"/>
      <c r="BR8" s="102"/>
      <c r="BS8" s="102"/>
      <c r="BT8" s="102"/>
    </row>
    <row r="9" spans="1:72" ht="15" customHeight="1" x14ac:dyDescent="0.25">
      <c r="A9" s="94">
        <v>3</v>
      </c>
      <c r="B9" s="93" t="str">
        <f t="shared" si="0"/>
        <v>Fri</v>
      </c>
      <c r="C9" s="92" t="str">
        <f t="shared" si="1"/>
        <v>Jun 15, 2018</v>
      </c>
      <c r="D9" s="91">
        <f t="shared" si="2"/>
        <v>0.75</v>
      </c>
      <c r="E9" s="90" t="str">
        <f>AB14</f>
        <v>Portugal</v>
      </c>
      <c r="F9" s="89"/>
      <c r="G9" s="88"/>
      <c r="H9" s="87" t="str">
        <f>AB15</f>
        <v>Spain</v>
      </c>
      <c r="J9" s="97" t="str">
        <f>VLOOKUP(1,AA8:AK11,2,FALSE)</f>
        <v>Uruguay</v>
      </c>
      <c r="K9" s="96">
        <f>L9+M9+N9</f>
        <v>0</v>
      </c>
      <c r="L9" s="96">
        <f>VLOOKUP(1,AA8:AK11,3,FALSE)</f>
        <v>0</v>
      </c>
      <c r="M9" s="96">
        <f>VLOOKUP(1,AA8:AK11,4,FALSE)</f>
        <v>0</v>
      </c>
      <c r="N9" s="96">
        <f>VLOOKUP(1,AA8:AK11,5,FALSE)</f>
        <v>0</v>
      </c>
      <c r="O9" s="96" t="str">
        <f>VLOOKUP(1,AA8:AK11,6,FALSE) &amp; " - " &amp; VLOOKUP(1,AA8:AK11,7,FALSE)</f>
        <v>0 - 0</v>
      </c>
      <c r="P9" s="95">
        <f>L9*3+M9</f>
        <v>0</v>
      </c>
      <c r="R9" s="55">
        <f>DATE(2018,6,15)+TIME(7,0,0)+gmt_delta</f>
        <v>43266.75</v>
      </c>
      <c r="S9" s="56" t="str">
        <f t="shared" si="3"/>
        <v/>
      </c>
      <c r="T9" s="56" t="str">
        <f t="shared" si="4"/>
        <v/>
      </c>
      <c r="U9" s="54">
        <f t="shared" si="5"/>
        <v>0</v>
      </c>
      <c r="V9" s="55">
        <f t="shared" si="6"/>
        <v>0</v>
      </c>
      <c r="W9" s="55">
        <f t="shared" si="7"/>
        <v>0</v>
      </c>
      <c r="X9" s="55">
        <f t="shared" si="8"/>
        <v>0</v>
      </c>
      <c r="Y9" s="55" t="str">
        <f t="shared" si="9"/>
        <v/>
      </c>
      <c r="AA9" s="55">
        <f>COUNTIF(AN8:AN11,CONCATENATE("&gt;=",AN9))</f>
        <v>3</v>
      </c>
      <c r="AB9" s="54" t="str">
        <f>VLOOKUP("Saudi Arabia",T,lang,FALSE)</f>
        <v>Saudi Arabia</v>
      </c>
      <c r="AC9" s="55">
        <f>COUNTIF($S$7:$T$54,"=" &amp; AB9 &amp; "_win")</f>
        <v>0</v>
      </c>
      <c r="AD9" s="55">
        <f>COUNTIF($S$7:$T$54,"=" &amp; AB9 &amp; "_draw")</f>
        <v>0</v>
      </c>
      <c r="AE9" s="55">
        <f>COUNTIF($S$7:$T$54,"=" &amp; AB9 &amp; "_lose")</f>
        <v>0</v>
      </c>
      <c r="AF9" s="55">
        <f>SUMIF($E$7:$E$54,$AB9,$F$7:$F$54) + SUMIF($H$7:$H$54,$AB9,$G$7:$G$54)</f>
        <v>0</v>
      </c>
      <c r="AG9" s="55">
        <f>SUMIF($E$7:$E$54,$AB9,$G$7:$G$54) + SUMIF($H$7:$H$54,$AB9,$F$7:$F$54)</f>
        <v>0</v>
      </c>
      <c r="AH9" s="55">
        <f>(AF9-AG9)+1</f>
        <v>1</v>
      </c>
      <c r="AI9" s="55">
        <f>AF9-AG9</f>
        <v>0</v>
      </c>
      <c r="AJ9" s="55">
        <f>(AI9-AI13)/AI12</f>
        <v>0</v>
      </c>
      <c r="AK9" s="55">
        <f>AC9*3+AD9</f>
        <v>0</v>
      </c>
      <c r="AL9" s="55">
        <f>AP9/AP12*1000+AQ9/AQ12*100+AT9/AT12*10+AR9/AR12</f>
        <v>0</v>
      </c>
      <c r="AM9" s="55">
        <f>VLOOKUP(AB9,db_fifarank,2,FALSE)/2000000</f>
        <v>2.7149999999999999E-4</v>
      </c>
      <c r="AN9" s="54">
        <f>1000*AK9/AK12+100*AJ9+10*AF9/AF12+1*AL9/AL12+AM9</f>
        <v>2.7149999999999999E-4</v>
      </c>
      <c r="AO9" s="53" t="str">
        <f>IF(SUM(AC8:AE11)=12,J10,INDEX(T,71,lang))</f>
        <v>2A</v>
      </c>
      <c r="AP9" s="52">
        <f>SUMPRODUCT(($S$7:$S$54=AB9&amp;"_win")*($U$7:$U$54))+SUMPRODUCT(($T$7:$T$54=AB9&amp;"_win")*($U$7:$U$54))</f>
        <v>0</v>
      </c>
      <c r="AQ9" s="51">
        <f>SUMPRODUCT(($S$7:$S$54=AB9&amp;"_draw")*($U$7:$U$54))+SUMPRODUCT(($T$7:$T$54=AB9&amp;"_draw")*($U$7:$U$54))</f>
        <v>0</v>
      </c>
      <c r="AR9" s="51">
        <f>SUMPRODUCT(($E$7:$E$54=AB9)*($U$7:$U$54)*($F$7:$F$54))+SUMPRODUCT(($H$7:$H$54=AB9)*($U$7:$U$54)*($G$7:$G$54))</f>
        <v>0</v>
      </c>
      <c r="AS9" s="51">
        <f>SUMPRODUCT(($E$7:$E$54=AB9)*($U$7:$U$54)*($G$7:$G$54))+SUMPRODUCT(($H$7:$H$54=AB9)*($U$7:$U$54)*($F$7:$F$54))</f>
        <v>0</v>
      </c>
      <c r="AT9" s="51">
        <f>AR9-AS9</f>
        <v>0</v>
      </c>
      <c r="AY9" s="102" t="str">
        <f>INDEX(T,24+MONTH(R58),lang) &amp; " " &amp; DAY(R58) &amp; ", " &amp; YEAR(R58) &amp; "   " &amp; TEXT(TIME(HOUR(R58),MINUTE(R58),0),"hh:mm")</f>
        <v>Jun 30, 2018   18:00</v>
      </c>
      <c r="AZ9" s="102"/>
      <c r="BA9" s="102"/>
      <c r="BB9" s="117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</row>
    <row r="10" spans="1:72" ht="15" customHeight="1" x14ac:dyDescent="0.25">
      <c r="A10" s="94">
        <v>4</v>
      </c>
      <c r="B10" s="93" t="str">
        <f t="shared" si="0"/>
        <v>Fri</v>
      </c>
      <c r="C10" s="92" t="str">
        <f t="shared" si="1"/>
        <v>Jun 15, 2018</v>
      </c>
      <c r="D10" s="91">
        <f t="shared" si="2"/>
        <v>0.625</v>
      </c>
      <c r="E10" s="90" t="str">
        <f>AB16</f>
        <v>Morocco</v>
      </c>
      <c r="F10" s="89"/>
      <c r="G10" s="88"/>
      <c r="H10" s="87" t="str">
        <f>AB17</f>
        <v>Iran</v>
      </c>
      <c r="J10" s="86" t="str">
        <f>VLOOKUP(2,AA8:AK11,2,FALSE)</f>
        <v>Egypt</v>
      </c>
      <c r="K10" s="85">
        <f>L10+M10+N10</f>
        <v>0</v>
      </c>
      <c r="L10" s="85">
        <f>VLOOKUP(2,AA8:AK11,3,FALSE)</f>
        <v>0</v>
      </c>
      <c r="M10" s="85">
        <f>VLOOKUP(2,AA8:AK11,4,FALSE)</f>
        <v>0</v>
      </c>
      <c r="N10" s="85">
        <f>VLOOKUP(2,AA8:AK11,5,FALSE)</f>
        <v>0</v>
      </c>
      <c r="O10" s="85" t="str">
        <f>VLOOKUP(2,AA8:AK11,6,FALSE) &amp; " - " &amp; VLOOKUP(2,AA8:AK11,7,FALSE)</f>
        <v>0 - 0</v>
      </c>
      <c r="P10" s="84">
        <f>L10*3+M10</f>
        <v>0</v>
      </c>
      <c r="R10" s="55">
        <f>DATE(2018,6,15)+TIME(4,0,0)+gmt_delta</f>
        <v>43266.625</v>
      </c>
      <c r="S10" s="56" t="str">
        <f t="shared" si="3"/>
        <v/>
      </c>
      <c r="T10" s="56" t="str">
        <f t="shared" si="4"/>
        <v/>
      </c>
      <c r="U10" s="54">
        <f t="shared" si="5"/>
        <v>0</v>
      </c>
      <c r="V10" s="55">
        <f t="shared" si="6"/>
        <v>0</v>
      </c>
      <c r="W10" s="55">
        <f t="shared" si="7"/>
        <v>0</v>
      </c>
      <c r="X10" s="55">
        <f t="shared" si="8"/>
        <v>0</v>
      </c>
      <c r="Y10" s="55" t="str">
        <f t="shared" si="9"/>
        <v/>
      </c>
      <c r="AA10" s="55">
        <f>COUNTIF(AN8:AN11,CONCATENATE("&gt;=",AN10))</f>
        <v>2</v>
      </c>
      <c r="AB10" s="54" t="str">
        <f>VLOOKUP("Egypt",T,lang,FALSE)</f>
        <v>Egypt</v>
      </c>
      <c r="AC10" s="55">
        <f>COUNTIF($S$7:$T$54,"=" &amp; AB10 &amp; "_win")</f>
        <v>0</v>
      </c>
      <c r="AD10" s="55">
        <f>COUNTIF($S$7:$T$54,"=" &amp; AB10 &amp; "_draw")</f>
        <v>0</v>
      </c>
      <c r="AE10" s="55">
        <f>COUNTIF($S$7:$T$54,"=" &amp; AB10 &amp; "_lose")</f>
        <v>0</v>
      </c>
      <c r="AF10" s="55">
        <f>SUMIF($E$7:$E$54,$AB10,$F$7:$F$54) + SUMIF($H$7:$H$54,$AB10,$G$7:$G$54)</f>
        <v>0</v>
      </c>
      <c r="AG10" s="55">
        <f>SUMIF($E$7:$E$54,$AB10,$G$7:$G$54) + SUMIF($H$7:$H$54,$AB10,$F$7:$F$54)</f>
        <v>0</v>
      </c>
      <c r="AH10" s="55">
        <f>(AF10-AG10)+1</f>
        <v>1</v>
      </c>
      <c r="AI10" s="55">
        <f>AF10-AG10</f>
        <v>0</v>
      </c>
      <c r="AJ10" s="55">
        <f>(AI10-AI13)/AI12</f>
        <v>0</v>
      </c>
      <c r="AK10" s="55">
        <f>AC10*3+AD10</f>
        <v>0</v>
      </c>
      <c r="AL10" s="55">
        <f>AP10/AP12*1000+AQ10/AQ12*100+AT10/AT12*10+AR10/AR12</f>
        <v>0</v>
      </c>
      <c r="AM10" s="55">
        <f>VLOOKUP(AB10,db_fifarank,2,FALSE)/2000000</f>
        <v>4.0250000000000003E-4</v>
      </c>
      <c r="AN10" s="54">
        <f>1000*AK10/AK12+100*AJ10+10*AF10/AF12+1*AL10/AL12+AM10</f>
        <v>4.0250000000000003E-4</v>
      </c>
      <c r="AP10" s="52">
        <f>SUMPRODUCT(($S$7:$S$54=AB10&amp;"_win")*($U$7:$U$54))+SUMPRODUCT(($T$7:$T$54=AB10&amp;"_win")*($U$7:$U$54))</f>
        <v>0</v>
      </c>
      <c r="AQ10" s="51">
        <f>SUMPRODUCT(($S$7:$S$54=AB10&amp;"_draw")*($U$7:$U$54))+SUMPRODUCT(($T$7:$T$54=AB10&amp;"_draw")*($U$7:$U$54))</f>
        <v>0</v>
      </c>
      <c r="AR10" s="51">
        <f>SUMPRODUCT(($E$7:$E$54=AB10)*($U$7:$U$54)*($F$7:$F$54))+SUMPRODUCT(($H$7:$H$54=AB10)*($U$7:$U$54)*($G$7:$G$54))</f>
        <v>0</v>
      </c>
      <c r="AS10" s="51">
        <f>SUMPRODUCT(($E$7:$E$54=AB10)*($U$7:$U$54)*($G$7:$G$54))+SUMPRODUCT(($H$7:$H$54=AB10)*($U$7:$U$54)*($F$7:$F$54))</f>
        <v>0</v>
      </c>
      <c r="AT10" s="51">
        <f>AR10-AS10</f>
        <v>0</v>
      </c>
      <c r="AY10" s="302">
        <v>49</v>
      </c>
      <c r="AZ10" s="107" t="str">
        <f>AO8</f>
        <v>1A</v>
      </c>
      <c r="BA10" s="106"/>
      <c r="BB10" s="105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</row>
    <row r="11" spans="1:72" ht="15" customHeight="1" x14ac:dyDescent="0.25">
      <c r="A11" s="94">
        <v>5</v>
      </c>
      <c r="B11" s="93" t="str">
        <f t="shared" si="0"/>
        <v>Sat</v>
      </c>
      <c r="C11" s="92" t="str">
        <f t="shared" si="1"/>
        <v>Jun 16, 2018</v>
      </c>
      <c r="D11" s="91">
        <f t="shared" si="2"/>
        <v>0.41666666666666669</v>
      </c>
      <c r="E11" s="90" t="str">
        <f>AB20</f>
        <v>France</v>
      </c>
      <c r="F11" s="89"/>
      <c r="G11" s="88"/>
      <c r="H11" s="87" t="str">
        <f>AB21</f>
        <v>Australia</v>
      </c>
      <c r="J11" s="86" t="str">
        <f>VLOOKUP(3,AA8:AK11,2,FALSE)</f>
        <v>Saudi Arabia</v>
      </c>
      <c r="K11" s="85">
        <f>L11+M11+N11</f>
        <v>0</v>
      </c>
      <c r="L11" s="85">
        <f>VLOOKUP(3,AA8:AK11,3,FALSE)</f>
        <v>0</v>
      </c>
      <c r="M11" s="85">
        <f>VLOOKUP(3,AA8:AK11,4,FALSE)</f>
        <v>0</v>
      </c>
      <c r="N11" s="85">
        <f>VLOOKUP(3,AA8:AK11,5,FALSE)</f>
        <v>0</v>
      </c>
      <c r="O11" s="85" t="str">
        <f>VLOOKUP(3,AA8:AK11,6,FALSE) &amp; " - " &amp; VLOOKUP(3,AA8:AK11,7,FALSE)</f>
        <v>0 - 0</v>
      </c>
      <c r="P11" s="84">
        <f>L11*3+M11</f>
        <v>0</v>
      </c>
      <c r="R11" s="55">
        <f>DATE(2018,6,15)+TIME(23,0,0)+gmt_delta</f>
        <v>43267.416666666672</v>
      </c>
      <c r="S11" s="56" t="str">
        <f t="shared" si="3"/>
        <v/>
      </c>
      <c r="T11" s="56" t="str">
        <f t="shared" si="4"/>
        <v/>
      </c>
      <c r="U11" s="54">
        <f t="shared" si="5"/>
        <v>0</v>
      </c>
      <c r="V11" s="55">
        <f t="shared" si="6"/>
        <v>0</v>
      </c>
      <c r="W11" s="55">
        <f t="shared" si="7"/>
        <v>0</v>
      </c>
      <c r="X11" s="55">
        <f t="shared" si="8"/>
        <v>0</v>
      </c>
      <c r="Y11" s="55" t="str">
        <f t="shared" si="9"/>
        <v/>
      </c>
      <c r="AA11" s="55">
        <f>COUNTIF(AN8:AN11,CONCATENATE("&gt;=",AN11))</f>
        <v>1</v>
      </c>
      <c r="AB11" s="54" t="str">
        <f>VLOOKUP("Uruguay",T,lang,FALSE)</f>
        <v>Uruguay</v>
      </c>
      <c r="AC11" s="55">
        <f>COUNTIF($S$7:$T$54,"=" &amp; AB11 &amp; "_win")</f>
        <v>0</v>
      </c>
      <c r="AD11" s="55">
        <f>COUNTIF($S$7:$T$54,"=" &amp; AB11 &amp; "_draw")</f>
        <v>0</v>
      </c>
      <c r="AE11" s="55">
        <f>COUNTIF($S$7:$T$54,"=" &amp; AB11 &amp; "_lose")</f>
        <v>0</v>
      </c>
      <c r="AF11" s="55">
        <f>SUMIF($E$7:$E$54,$AB11,$F$7:$F$54) + SUMIF($H$7:$H$54,$AB11,$G$7:$G$54)</f>
        <v>0</v>
      </c>
      <c r="AG11" s="55">
        <f>SUMIF($E$7:$E$54,$AB11,$G$7:$G$54) + SUMIF($H$7:$H$54,$AB11,$F$7:$F$54)</f>
        <v>0</v>
      </c>
      <c r="AH11" s="55">
        <f>(AF11-AG11)+1</f>
        <v>1</v>
      </c>
      <c r="AI11" s="55">
        <f>AF11-AG11</f>
        <v>0</v>
      </c>
      <c r="AJ11" s="55">
        <f>(AI11-AI13)/AI12</f>
        <v>0</v>
      </c>
      <c r="AK11" s="55">
        <f>AC11*3+AD11</f>
        <v>0</v>
      </c>
      <c r="AL11" s="55">
        <f>AP11/AP12*1000+AQ11/AQ12*100+AT11/AT12*10+AR11/AR12</f>
        <v>0</v>
      </c>
      <c r="AM11" s="55">
        <f>VLOOKUP(AB11,db_fifarank,2,FALSE)/2000000</f>
        <v>4.6200000000000001E-4</v>
      </c>
      <c r="AN11" s="54">
        <f>1000*AK11/AK12+100*AJ11+10*AF11/AF12+1*AL11/AL12+AM11</f>
        <v>4.6200000000000001E-4</v>
      </c>
      <c r="AP11" s="52">
        <f>SUMPRODUCT(($S$7:$S$54=AB11&amp;"_win")*($U$7:$U$54))+SUMPRODUCT(($T$7:$T$54=AB11&amp;"_win")*($U$7:$U$54))</f>
        <v>0</v>
      </c>
      <c r="AQ11" s="51">
        <f>SUMPRODUCT(($S$7:$S$54=AB11&amp;"_draw")*($U$7:$U$54))+SUMPRODUCT(($T$7:$T$54=AB11&amp;"_draw")*($U$7:$U$54))</f>
        <v>0</v>
      </c>
      <c r="AR11" s="51">
        <f>SUMPRODUCT(($E$7:$E$54=AB11)*($U$7:$U$54)*($F$7:$F$54))+SUMPRODUCT(($H$7:$H$54=AB11)*($U$7:$U$54)*($G$7:$G$54))</f>
        <v>0</v>
      </c>
      <c r="AS11" s="51">
        <f>SUMPRODUCT(($E$7:$E$54=AB11)*($U$7:$U$54)*($G$7:$G$54))+SUMPRODUCT(($H$7:$H$54=AB11)*($U$7:$U$54)*($F$7:$F$54))</f>
        <v>0</v>
      </c>
      <c r="AT11" s="51">
        <f>AR11-AS11</f>
        <v>0</v>
      </c>
      <c r="AY11" s="303"/>
      <c r="AZ11" s="103" t="str">
        <f>AO15</f>
        <v>2B</v>
      </c>
      <c r="BA11" s="78"/>
      <c r="BB11" s="77"/>
      <c r="BC11" s="111"/>
      <c r="BD11" s="102"/>
      <c r="BE11" s="102" t="str">
        <f>INDEX(T,24+MONTH(R69),lang) &amp; " " &amp; DAY(R69) &amp; ", " &amp; YEAR(R69) &amp; "   " &amp; TEXT(TIME(HOUR(R69),MINUTE(R69),0),"hh:mm")</f>
        <v>Jul 6, 2018   14:00</v>
      </c>
      <c r="BF11" s="102"/>
      <c r="BG11" s="102"/>
      <c r="BH11" s="110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</row>
    <row r="12" spans="1:72" ht="15" customHeight="1" x14ac:dyDescent="0.25">
      <c r="A12" s="94">
        <v>6</v>
      </c>
      <c r="B12" s="93" t="str">
        <f t="shared" si="0"/>
        <v>Sat</v>
      </c>
      <c r="C12" s="92" t="str">
        <f t="shared" si="1"/>
        <v>Jun 16, 2018</v>
      </c>
      <c r="D12" s="91">
        <f t="shared" si="2"/>
        <v>0.66666666666666663</v>
      </c>
      <c r="E12" s="90" t="str">
        <f>AB22</f>
        <v>Peru</v>
      </c>
      <c r="F12" s="89"/>
      <c r="G12" s="88"/>
      <c r="H12" s="87" t="str">
        <f>AB23</f>
        <v>Denmark</v>
      </c>
      <c r="J12" s="75" t="str">
        <f>VLOOKUP(4,AA8:AK11,2,FALSE)</f>
        <v>Russia</v>
      </c>
      <c r="K12" s="74">
        <f>L12+M12+N12</f>
        <v>0</v>
      </c>
      <c r="L12" s="74">
        <f>VLOOKUP(4,AA8:AK11,3,FALSE)</f>
        <v>0</v>
      </c>
      <c r="M12" s="74">
        <f>VLOOKUP(4,AA8:AK11,4,FALSE)</f>
        <v>0</v>
      </c>
      <c r="N12" s="74">
        <f>VLOOKUP(4,AA8:AK11,5,FALSE)</f>
        <v>0</v>
      </c>
      <c r="O12" s="74" t="str">
        <f>VLOOKUP(4,AA8:AK11,6,FALSE) &amp; " - " &amp; VLOOKUP(4,AA8:AK11,7,FALSE)</f>
        <v>0 - 0</v>
      </c>
      <c r="P12" s="73">
        <f>L12*3+M12</f>
        <v>0</v>
      </c>
      <c r="R12" s="55">
        <f>DATE(2018,6,16)+TIME(5,0,0)+gmt_delta</f>
        <v>43267.666666666672</v>
      </c>
      <c r="S12" s="56" t="str">
        <f t="shared" si="3"/>
        <v/>
      </c>
      <c r="T12" s="56" t="str">
        <f t="shared" si="4"/>
        <v/>
      </c>
      <c r="U12" s="54">
        <f t="shared" si="5"/>
        <v>0</v>
      </c>
      <c r="V12" s="55">
        <f t="shared" si="6"/>
        <v>0</v>
      </c>
      <c r="W12" s="55">
        <f t="shared" si="7"/>
        <v>0</v>
      </c>
      <c r="X12" s="55">
        <f t="shared" si="8"/>
        <v>0</v>
      </c>
      <c r="Y12" s="55" t="str">
        <f t="shared" si="9"/>
        <v/>
      </c>
      <c r="AC12" s="55">
        <f>MAX(AC8:AC11)-MIN(AC8:AC11)+1</f>
        <v>1</v>
      </c>
      <c r="AD12" s="55">
        <f>MAX(AD8:AD11)-MIN(AD8:AD11)+1</f>
        <v>1</v>
      </c>
      <c r="AE12" s="55">
        <f>MAX(AE8:AE11)-MIN(AE8:AE11)+1</f>
        <v>1</v>
      </c>
      <c r="AF12" s="55">
        <f>MAX(AF8:AF11)-MIN(AF8:AF11)+1</f>
        <v>1</v>
      </c>
      <c r="AG12" s="55">
        <f>MAX(AG8:AG11)-MIN(AG8:AG11)+1</f>
        <v>1</v>
      </c>
      <c r="AH12" s="55">
        <f>MAX(AH8:AH11)-AH13+1</f>
        <v>1</v>
      </c>
      <c r="AI12" s="55">
        <f>MAX(AI8:AI11)-AI13+1</f>
        <v>1</v>
      </c>
      <c r="AK12" s="55">
        <f>MAX(AK8:AK11)-MIN(AK8:AK11)+1</f>
        <v>1</v>
      </c>
      <c r="AL12" s="55">
        <f>MAX(AL8:AL11)-MIN(AL8:AL11)+1</f>
        <v>1</v>
      </c>
      <c r="AP12" s="55">
        <f>MAX(AP8:AP11)-MIN(AP8:AP11)+1</f>
        <v>1</v>
      </c>
      <c r="AQ12" s="55">
        <f>MAX(AQ8:AQ11)-MIN(AQ8:AQ11)+1</f>
        <v>1</v>
      </c>
      <c r="AR12" s="55">
        <f>MAX(AR8:AR11)-MIN(AR8:AR11)+1</f>
        <v>1</v>
      </c>
      <c r="AS12" s="55">
        <f>MAX(AS8:AS11)-MIN(AS8:AS11)+1</f>
        <v>1</v>
      </c>
      <c r="AT12" s="55">
        <f>MAX(AT8:AT11)-MIN(AT8:AT11)+1</f>
        <v>1</v>
      </c>
      <c r="AY12" s="102"/>
      <c r="AZ12" s="102"/>
      <c r="BA12" s="102"/>
      <c r="BB12" s="102"/>
      <c r="BC12" s="109"/>
      <c r="BD12" s="102"/>
      <c r="BE12" s="302">
        <v>57</v>
      </c>
      <c r="BF12" s="107" t="str">
        <f>T58</f>
        <v>W49</v>
      </c>
      <c r="BG12" s="106"/>
      <c r="BH12" s="105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</row>
    <row r="13" spans="1:72" ht="15" customHeight="1" x14ac:dyDescent="0.25">
      <c r="A13" s="94">
        <v>7</v>
      </c>
      <c r="B13" s="93" t="str">
        <f t="shared" si="0"/>
        <v>Sat</v>
      </c>
      <c r="C13" s="92" t="str">
        <f t="shared" si="1"/>
        <v>Jun 16, 2018</v>
      </c>
      <c r="D13" s="91">
        <f t="shared" si="2"/>
        <v>0.54166666666666663</v>
      </c>
      <c r="E13" s="90" t="str">
        <f>AB26</f>
        <v>Argentina</v>
      </c>
      <c r="F13" s="89"/>
      <c r="G13" s="88"/>
      <c r="H13" s="87" t="str">
        <f>AB27</f>
        <v>Iceland</v>
      </c>
      <c r="J13" s="115"/>
      <c r="K13" s="114"/>
      <c r="L13" s="114"/>
      <c r="M13" s="114"/>
      <c r="N13" s="114"/>
      <c r="O13" s="114"/>
      <c r="P13" s="114"/>
      <c r="R13" s="55">
        <f>DATE(2018,6,16)+TIME(2,0,0)+gmt_delta</f>
        <v>43267.541666666672</v>
      </c>
      <c r="S13" s="56" t="str">
        <f t="shared" si="3"/>
        <v/>
      </c>
      <c r="T13" s="56" t="str">
        <f t="shared" si="4"/>
        <v/>
      </c>
      <c r="U13" s="54">
        <f t="shared" si="5"/>
        <v>0</v>
      </c>
      <c r="V13" s="55">
        <f t="shared" si="6"/>
        <v>0</v>
      </c>
      <c r="W13" s="55">
        <f t="shared" si="7"/>
        <v>0</v>
      </c>
      <c r="X13" s="55">
        <f t="shared" si="8"/>
        <v>1</v>
      </c>
      <c r="Y13" s="55" t="str">
        <f t="shared" si="9"/>
        <v/>
      </c>
      <c r="AH13" s="55">
        <f>MIN(AH8:AH11)</f>
        <v>1</v>
      </c>
      <c r="AI13" s="55">
        <f>MIN(AI8:AI11)</f>
        <v>0</v>
      </c>
      <c r="AY13" s="102" t="str">
        <f>INDEX(T,24+MONTH(R59),lang) &amp; " " &amp; DAY(R59) &amp; ", " &amp; YEAR(R59) &amp; "   " &amp; TEXT(TIME(HOUR(R59),MINUTE(R59),0),"hh:mm")</f>
        <v>Jun 30, 2018   14:00</v>
      </c>
      <c r="AZ13" s="102"/>
      <c r="BA13" s="102"/>
      <c r="BB13" s="110"/>
      <c r="BC13" s="109"/>
      <c r="BD13" s="108"/>
      <c r="BE13" s="303"/>
      <c r="BF13" s="103" t="str">
        <f>T59</f>
        <v>W50</v>
      </c>
      <c r="BG13" s="78"/>
      <c r="BH13" s="77"/>
      <c r="BI13" s="111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</row>
    <row r="14" spans="1:72" ht="15" customHeight="1" x14ac:dyDescent="0.25">
      <c r="A14" s="94">
        <v>8</v>
      </c>
      <c r="B14" s="93" t="str">
        <f t="shared" si="0"/>
        <v>Sat</v>
      </c>
      <c r="C14" s="92" t="str">
        <f t="shared" si="1"/>
        <v>Jun 16, 2018</v>
      </c>
      <c r="D14" s="91">
        <f t="shared" si="2"/>
        <v>0.79166666666666663</v>
      </c>
      <c r="E14" s="90" t="str">
        <f>AB28</f>
        <v>Croatia</v>
      </c>
      <c r="F14" s="89"/>
      <c r="G14" s="88"/>
      <c r="H14" s="87" t="str">
        <f>AB29</f>
        <v>Nigeria</v>
      </c>
      <c r="J14" s="100" t="str">
        <f>INDEX(T,9,lang) &amp; " " &amp; "B"</f>
        <v>Group B</v>
      </c>
      <c r="K14" s="99" t="str">
        <f>INDEX(T,10,lang)</f>
        <v>PL</v>
      </c>
      <c r="L14" s="99" t="str">
        <f>INDEX(T,11,lang)</f>
        <v>W</v>
      </c>
      <c r="M14" s="99" t="str">
        <f>INDEX(T,12,lang)</f>
        <v>DRAW</v>
      </c>
      <c r="N14" s="99" t="str">
        <f>INDEX(T,13,lang)</f>
        <v>L</v>
      </c>
      <c r="O14" s="99" t="str">
        <f>INDEX(T,14,lang)</f>
        <v>GF - GA</v>
      </c>
      <c r="P14" s="98" t="str">
        <f>INDEX(T,15,lang)</f>
        <v>PNT</v>
      </c>
      <c r="R14" s="55">
        <f>DATE(2018,6,16)+TIME(8,0,0)+gmt_delta</f>
        <v>43267.791666666672</v>
      </c>
      <c r="S14" s="56" t="str">
        <f t="shared" si="3"/>
        <v/>
      </c>
      <c r="T14" s="56" t="str">
        <f t="shared" si="4"/>
        <v/>
      </c>
      <c r="U14" s="54">
        <f t="shared" si="5"/>
        <v>0</v>
      </c>
      <c r="V14" s="55">
        <f t="shared" si="6"/>
        <v>0</v>
      </c>
      <c r="W14" s="55">
        <f t="shared" si="7"/>
        <v>0</v>
      </c>
      <c r="X14" s="55">
        <f t="shared" si="8"/>
        <v>0</v>
      </c>
      <c r="Y14" s="55" t="str">
        <f t="shared" si="9"/>
        <v/>
      </c>
      <c r="AA14" s="55">
        <f>COUNTIF(AN14:AN17,CONCATENATE("&gt;=",AN14))</f>
        <v>1</v>
      </c>
      <c r="AB14" s="54" t="str">
        <f>VLOOKUP("Portugal",T,lang,FALSE)</f>
        <v>Portugal</v>
      </c>
      <c r="AC14" s="55">
        <f>COUNTIF($S$7:$T$54,"=" &amp; AB14 &amp; "_win")</f>
        <v>0</v>
      </c>
      <c r="AD14" s="55">
        <f>COUNTIF($S$7:$T$54,"=" &amp; AB14 &amp; "_draw")</f>
        <v>0</v>
      </c>
      <c r="AE14" s="55">
        <f>COUNTIF($S$7:$T$54,"=" &amp; AB14 &amp; "_lose")</f>
        <v>0</v>
      </c>
      <c r="AF14" s="55">
        <f>SUMIF($E$7:$E$54,$AB14,$F$7:$F$54) + SUMIF($H$7:$H$54,$AB14,$G$7:$G$54)</f>
        <v>0</v>
      </c>
      <c r="AG14" s="55">
        <f>SUMIF($E$7:$E$54,$AB14,$G$7:$G$54) + SUMIF($H$7:$H$54,$AB14,$F$7:$F$54)</f>
        <v>0</v>
      </c>
      <c r="AH14" s="55">
        <f>(AF14-AG14)*100+AK14*10000+AF14</f>
        <v>0</v>
      </c>
      <c r="AI14" s="55">
        <f>AF14-AG14</f>
        <v>0</v>
      </c>
      <c r="AJ14" s="55">
        <f>(AI14-AI19)/AI18</f>
        <v>0</v>
      </c>
      <c r="AK14" s="55">
        <f>AC14*3+AD14</f>
        <v>0</v>
      </c>
      <c r="AL14" s="55">
        <f>AP14/AP18*1000+AQ14/AQ18*100+AT14/AT18*10+AR14/AR18</f>
        <v>0</v>
      </c>
      <c r="AM14" s="55">
        <f>VLOOKUP(AB14,db_fifarank,2,FALSE)/2000000</f>
        <v>6.7900000000000002E-4</v>
      </c>
      <c r="AN14" s="54">
        <f>1000*AK14/AK18+100*AJ14+10*AF14/AF18+1*AL14/AL18+AM14</f>
        <v>6.7900000000000002E-4</v>
      </c>
      <c r="AO14" s="53" t="str">
        <f>IF(SUM(AC14:AE17)=12,J15,INDEX(T,72,lang))</f>
        <v>1B</v>
      </c>
      <c r="AP14" s="52">
        <f>SUMPRODUCT(($S$7:$S$54=AB14&amp;"_win")*($U$7:$U$54))+SUMPRODUCT(($T$7:$T$54=AB14&amp;"_win")*($U$7:$U$54))</f>
        <v>0</v>
      </c>
      <c r="AQ14" s="51">
        <f>SUMPRODUCT(($S$7:$S$54=AB14&amp;"_draw")*($U$7:$U$54))+SUMPRODUCT(($T$7:$T$54=AB14&amp;"_draw")*($U$7:$U$54))</f>
        <v>0</v>
      </c>
      <c r="AR14" s="51">
        <f>SUMPRODUCT(($E$7:$E$54=AB14)*($U$7:$U$54)*($F$7:$F$54))+SUMPRODUCT(($H$7:$H$54=AB14)*($U$7:$U$54)*($G$7:$G$54))</f>
        <v>0</v>
      </c>
      <c r="AS14" s="51">
        <f>SUMPRODUCT(($E$7:$E$54=AB14)*($U$7:$U$54)*($G$7:$G$54))+SUMPRODUCT(($H$7:$H$54=AB14)*($U$7:$U$54)*($F$7:$F$54))</f>
        <v>0</v>
      </c>
      <c r="AT14" s="51">
        <f>AR14-AS14</f>
        <v>0</v>
      </c>
      <c r="AY14" s="302">
        <v>50</v>
      </c>
      <c r="AZ14" s="107" t="str">
        <f>AO20</f>
        <v>1C</v>
      </c>
      <c r="BA14" s="106"/>
      <c r="BB14" s="105"/>
      <c r="BC14" s="104"/>
      <c r="BD14" s="102"/>
      <c r="BE14" s="102"/>
      <c r="BF14" s="102"/>
      <c r="BG14" s="102"/>
      <c r="BH14" s="102"/>
      <c r="BI14" s="109"/>
      <c r="BJ14" s="102"/>
      <c r="BK14" s="102"/>
      <c r="BL14" s="102"/>
      <c r="BM14" s="102"/>
      <c r="BN14" s="110"/>
      <c r="BO14" s="102"/>
      <c r="BP14" s="102"/>
      <c r="BQ14" s="102"/>
      <c r="BR14" s="102"/>
      <c r="BS14" s="102"/>
      <c r="BT14" s="102"/>
    </row>
    <row r="15" spans="1:72" ht="15" customHeight="1" x14ac:dyDescent="0.25">
      <c r="A15" s="94">
        <v>9</v>
      </c>
      <c r="B15" s="93" t="str">
        <f t="shared" si="0"/>
        <v>Sun</v>
      </c>
      <c r="C15" s="92" t="str">
        <f t="shared" si="1"/>
        <v>Jun 17, 2018</v>
      </c>
      <c r="D15" s="91">
        <f t="shared" si="2"/>
        <v>0.75</v>
      </c>
      <c r="E15" s="90" t="str">
        <f>AB32</f>
        <v>Brazil</v>
      </c>
      <c r="F15" s="89"/>
      <c r="G15" s="88"/>
      <c r="H15" s="87" t="str">
        <f>AB33</f>
        <v>Switzerland</v>
      </c>
      <c r="J15" s="97" t="str">
        <f>VLOOKUP(1,AA14:AK17,2,FALSE)</f>
        <v>Portugal</v>
      </c>
      <c r="K15" s="96">
        <f>L15+M15+N15</f>
        <v>0</v>
      </c>
      <c r="L15" s="96">
        <f>VLOOKUP(1,AA14:AK17,3,FALSE)</f>
        <v>0</v>
      </c>
      <c r="M15" s="96">
        <f>VLOOKUP(1,AA14:AK17,4,FALSE)</f>
        <v>0</v>
      </c>
      <c r="N15" s="96">
        <f>VLOOKUP(1,AA14:AK17,5,FALSE)</f>
        <v>0</v>
      </c>
      <c r="O15" s="96" t="str">
        <f>VLOOKUP(1,AA14:AK17,6,FALSE) &amp; " - " &amp; VLOOKUP(1,AA14:AK17,7,FALSE)</f>
        <v>0 - 0</v>
      </c>
      <c r="P15" s="95">
        <f>L15*3+M15</f>
        <v>0</v>
      </c>
      <c r="R15" s="55">
        <f>DATE(2018,6,17)+TIME(7,0,0)+gmt_delta</f>
        <v>43268.75</v>
      </c>
      <c r="S15" s="56" t="str">
        <f t="shared" si="3"/>
        <v/>
      </c>
      <c r="T15" s="56" t="str">
        <f t="shared" si="4"/>
        <v/>
      </c>
      <c r="U15" s="54">
        <f t="shared" si="5"/>
        <v>0</v>
      </c>
      <c r="V15" s="55">
        <f t="shared" si="6"/>
        <v>0</v>
      </c>
      <c r="W15" s="55">
        <f t="shared" si="7"/>
        <v>0</v>
      </c>
      <c r="X15" s="55">
        <f t="shared" si="8"/>
        <v>0</v>
      </c>
      <c r="Y15" s="55" t="str">
        <f t="shared" si="9"/>
        <v/>
      </c>
      <c r="AA15" s="55">
        <f>COUNTIF(AN14:AN17,CONCATENATE("&gt;=",AN15))</f>
        <v>2</v>
      </c>
      <c r="AB15" s="54" t="str">
        <f>VLOOKUP("Spain",T,lang,FALSE)</f>
        <v>Spain</v>
      </c>
      <c r="AC15" s="55">
        <f>COUNTIF($S$7:$T$54,"=" &amp; AB15 &amp; "_win")</f>
        <v>0</v>
      </c>
      <c r="AD15" s="55">
        <f>COUNTIF($S$7:$T$54,"=" &amp; AB15 &amp; "_draw")</f>
        <v>0</v>
      </c>
      <c r="AE15" s="55">
        <f>COUNTIF($S$7:$T$54,"=" &amp; AB15 &amp; "_lose")</f>
        <v>0</v>
      </c>
      <c r="AF15" s="55">
        <f>SUMIF($E$7:$E$54,$AB15,$F$7:$F$54) + SUMIF($H$7:$H$54,$AB15,$G$7:$G$54)</f>
        <v>0</v>
      </c>
      <c r="AG15" s="55">
        <f>SUMIF($E$7:$E$54,$AB15,$G$7:$G$54) + SUMIF($H$7:$H$54,$AB15,$F$7:$F$54)</f>
        <v>0</v>
      </c>
      <c r="AH15" s="55">
        <f>(AF15-AG15)*100+AK15*10000+AF15</f>
        <v>0</v>
      </c>
      <c r="AI15" s="55">
        <f>AF15-AG15</f>
        <v>0</v>
      </c>
      <c r="AJ15" s="55">
        <f>(AI15-AI19)/AI18</f>
        <v>0</v>
      </c>
      <c r="AK15" s="55">
        <f>AC15*3+AD15</f>
        <v>0</v>
      </c>
      <c r="AL15" s="55">
        <f>AP15/AP18*1000+AQ15/AQ18*100+AT15/AT18*10+AR15/AR18</f>
        <v>0</v>
      </c>
      <c r="AM15" s="55">
        <f>VLOOKUP(AB15,db_fifarank,2,FALSE)/2000000</f>
        <v>6.1550000000000005E-4</v>
      </c>
      <c r="AN15" s="54">
        <f>1000*AK15/AK18+100*AJ15+10*AF15/AF18+1*AL15/AL18+AM15</f>
        <v>6.1550000000000005E-4</v>
      </c>
      <c r="AO15" s="53" t="str">
        <f>IF(SUM(AC14:AE17)=12,J16,INDEX(T,73,lang))</f>
        <v>2B</v>
      </c>
      <c r="AP15" s="52">
        <f>SUMPRODUCT(($S$7:$S$54=AB15&amp;"_win")*($U$7:$U$54))+SUMPRODUCT(($T$7:$T$54=AB15&amp;"_win")*($U$7:$U$54))</f>
        <v>0</v>
      </c>
      <c r="AQ15" s="51">
        <f>SUMPRODUCT(($S$7:$S$54=AB15&amp;"_draw")*($U$7:$U$54))+SUMPRODUCT(($T$7:$T$54=AB15&amp;"_draw")*($U$7:$U$54))</f>
        <v>0</v>
      </c>
      <c r="AR15" s="51">
        <f>SUMPRODUCT(($E$7:$E$54=AB15)*($U$7:$U$54)*($F$7:$F$54))+SUMPRODUCT(($H$7:$H$54=AB15)*($U$7:$U$54)*($G$7:$G$54))</f>
        <v>0</v>
      </c>
      <c r="AS15" s="51">
        <f>SUMPRODUCT(($E$7:$E$54=AB15)*($U$7:$U$54)*($G$7:$G$54))+SUMPRODUCT(($H$7:$H$54=AB15)*($U$7:$U$54)*($F$7:$F$54))</f>
        <v>0</v>
      </c>
      <c r="AT15" s="51">
        <f>AR15-AS15</f>
        <v>0</v>
      </c>
      <c r="AY15" s="303"/>
      <c r="AZ15" s="103" t="str">
        <f>AO27</f>
        <v>2D</v>
      </c>
      <c r="BA15" s="78"/>
      <c r="BB15" s="77"/>
      <c r="BC15" s="102"/>
      <c r="BD15" s="102"/>
      <c r="BE15" s="102"/>
      <c r="BF15" s="102"/>
      <c r="BG15" s="102"/>
      <c r="BH15" s="102"/>
      <c r="BI15" s="109"/>
      <c r="BJ15" s="102"/>
      <c r="BK15" s="102" t="str">
        <f>INDEX(T,24+MONTH(R76),lang) &amp; " " &amp; DAY(R76) &amp; ", " &amp; YEAR(R76) &amp; "   " &amp; TEXT(TIME(HOUR(R76),MINUTE(R76),0),"hh:mm")</f>
        <v>Jul 10, 2018   18:00</v>
      </c>
      <c r="BL15" s="102"/>
      <c r="BM15" s="102"/>
      <c r="BN15" s="110"/>
      <c r="BO15" s="102"/>
      <c r="BP15" s="102"/>
      <c r="BQ15" s="102"/>
      <c r="BR15" s="102"/>
      <c r="BS15" s="102"/>
      <c r="BT15" s="102"/>
    </row>
    <row r="16" spans="1:72" ht="15" customHeight="1" x14ac:dyDescent="0.25">
      <c r="A16" s="94">
        <v>10</v>
      </c>
      <c r="B16" s="93" t="str">
        <f t="shared" si="0"/>
        <v>Sun</v>
      </c>
      <c r="C16" s="92" t="str">
        <f t="shared" si="1"/>
        <v>Jun 17, 2018</v>
      </c>
      <c r="D16" s="91">
        <f t="shared" si="2"/>
        <v>0.5</v>
      </c>
      <c r="E16" s="90" t="str">
        <f>AB34</f>
        <v>Costa Rica</v>
      </c>
      <c r="F16" s="89"/>
      <c r="G16" s="88"/>
      <c r="H16" s="87" t="str">
        <f>AB35</f>
        <v>Serbia</v>
      </c>
      <c r="J16" s="86" t="str">
        <f>VLOOKUP(2,AA14:AK17,2,FALSE)</f>
        <v>Spain</v>
      </c>
      <c r="K16" s="85">
        <f>L16+M16+N16</f>
        <v>0</v>
      </c>
      <c r="L16" s="85">
        <f>VLOOKUP(2,AA14:AK17,3,FALSE)</f>
        <v>0</v>
      </c>
      <c r="M16" s="85">
        <f>VLOOKUP(2,AA14:AK17,4,FALSE)</f>
        <v>0</v>
      </c>
      <c r="N16" s="85">
        <f>VLOOKUP(2,AA14:AK17,5,FALSE)</f>
        <v>0</v>
      </c>
      <c r="O16" s="85" t="str">
        <f>VLOOKUP(2,AA14:AK17,6,FALSE) &amp; " - " &amp; VLOOKUP(2,AA14:AK17,7,FALSE)</f>
        <v>0 - 0</v>
      </c>
      <c r="P16" s="84">
        <f>L16*3+M16</f>
        <v>0</v>
      </c>
      <c r="R16" s="55">
        <f>DATE(2018,6,17)+TIME(1,0,0)+gmt_delta</f>
        <v>43268.5</v>
      </c>
      <c r="S16" s="56" t="str">
        <f t="shared" si="3"/>
        <v/>
      </c>
      <c r="T16" s="56" t="str">
        <f t="shared" si="4"/>
        <v/>
      </c>
      <c r="U16" s="54">
        <f t="shared" si="5"/>
        <v>0</v>
      </c>
      <c r="V16" s="55">
        <f t="shared" si="6"/>
        <v>0</v>
      </c>
      <c r="W16" s="55">
        <f t="shared" si="7"/>
        <v>0</v>
      </c>
      <c r="X16" s="55">
        <f t="shared" si="8"/>
        <v>0</v>
      </c>
      <c r="Y16" s="55" t="str">
        <f t="shared" si="9"/>
        <v/>
      </c>
      <c r="AA16" s="55">
        <f>COUNTIF(AN14:AN17,CONCATENATE("&gt;=",AN16))</f>
        <v>4</v>
      </c>
      <c r="AB16" s="54" t="str">
        <f>VLOOKUP("Morocco",T,lang,FALSE)</f>
        <v>Morocco</v>
      </c>
      <c r="AC16" s="55">
        <f>COUNTIF($S$7:$T$54,"=" &amp; AB16 &amp; "_win")</f>
        <v>0</v>
      </c>
      <c r="AD16" s="55">
        <f>COUNTIF($S$7:$T$54,"=" &amp; AB16 &amp; "_draw")</f>
        <v>0</v>
      </c>
      <c r="AE16" s="55">
        <f>COUNTIF($S$7:$T$54,"=" &amp; AB16 &amp; "_lose")</f>
        <v>0</v>
      </c>
      <c r="AF16" s="55">
        <f>SUMIF($E$7:$E$54,$AB16,$F$7:$F$54) + SUMIF($H$7:$H$54,$AB16,$G$7:$G$54)</f>
        <v>0</v>
      </c>
      <c r="AG16" s="55">
        <f>SUMIF($E$7:$E$54,$AB16,$G$7:$G$54) + SUMIF($H$7:$H$54,$AB16,$F$7:$F$54)</f>
        <v>0</v>
      </c>
      <c r="AH16" s="55">
        <f>(AF16-AG16)*100+AK16*10000+AF16</f>
        <v>0</v>
      </c>
      <c r="AI16" s="55">
        <f>AF16-AG16</f>
        <v>0</v>
      </c>
      <c r="AJ16" s="55">
        <f>(AI16-AI19)/AI18</f>
        <v>0</v>
      </c>
      <c r="AK16" s="55">
        <f>AC16*3+AD16</f>
        <v>0</v>
      </c>
      <c r="AL16" s="55">
        <f>AP16/AP18*1000+AQ16/AQ18*100+AT16/AT18*10+AR16/AR18</f>
        <v>0</v>
      </c>
      <c r="AM16" s="55">
        <f>VLOOKUP(AB16,db_fifarank,2,FALSE)/2000000</f>
        <v>3.6900000000000002E-4</v>
      </c>
      <c r="AN16" s="54">
        <f>1000*AK16/AK18+100*AJ16+10*AF16/AF18+1*AL16/AL18+AM16</f>
        <v>3.6900000000000002E-4</v>
      </c>
      <c r="AP16" s="52">
        <f>SUMPRODUCT(($S$7:$S$54=AB16&amp;"_win")*($U$7:$U$54))+SUMPRODUCT(($T$7:$T$54=AB16&amp;"_win")*($U$7:$U$54))</f>
        <v>0</v>
      </c>
      <c r="AQ16" s="51">
        <f>SUMPRODUCT(($S$7:$S$54=AB16&amp;"_draw")*($U$7:$U$54))+SUMPRODUCT(($T$7:$T$54=AB16&amp;"_draw")*($U$7:$U$54))</f>
        <v>0</v>
      </c>
      <c r="AR16" s="51">
        <f>SUMPRODUCT(($E$7:$E$54=AB16)*($U$7:$U$54)*($F$7:$F$54))+SUMPRODUCT(($H$7:$H$54=AB16)*($U$7:$U$54)*($G$7:$G$54))</f>
        <v>0</v>
      </c>
      <c r="AS16" s="51">
        <f>SUMPRODUCT(($E$7:$E$54=AB16)*($U$7:$U$54)*($G$7:$G$54))+SUMPRODUCT(($H$7:$H$54=AB16)*($U$7:$U$54)*($F$7:$F$54))</f>
        <v>0</v>
      </c>
      <c r="AT16" s="51">
        <f>AR16-AS16</f>
        <v>0</v>
      </c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9"/>
      <c r="BJ16" s="102"/>
      <c r="BK16" s="302">
        <v>61</v>
      </c>
      <c r="BL16" s="107" t="str">
        <f>T69</f>
        <v>W57</v>
      </c>
      <c r="BM16" s="106"/>
      <c r="BN16" s="105"/>
      <c r="BO16" s="102"/>
      <c r="BP16" s="112"/>
      <c r="BQ16" s="102"/>
      <c r="BR16" s="102"/>
      <c r="BS16" s="102"/>
      <c r="BT16" s="102"/>
    </row>
    <row r="17" spans="1:72" ht="15" customHeight="1" x14ac:dyDescent="0.25">
      <c r="A17" s="94">
        <v>11</v>
      </c>
      <c r="B17" s="93" t="str">
        <f t="shared" si="0"/>
        <v>Sun</v>
      </c>
      <c r="C17" s="92" t="str">
        <f t="shared" si="1"/>
        <v>Jun 17, 2018</v>
      </c>
      <c r="D17" s="91">
        <f t="shared" si="2"/>
        <v>0.625</v>
      </c>
      <c r="E17" s="90" t="str">
        <f>AB38</f>
        <v>Germany</v>
      </c>
      <c r="F17" s="89"/>
      <c r="G17" s="88"/>
      <c r="H17" s="87" t="str">
        <f>AB39</f>
        <v>Mexico</v>
      </c>
      <c r="J17" s="86" t="str">
        <f>VLOOKUP(3,AA14:AK17,2,FALSE)</f>
        <v>Iran</v>
      </c>
      <c r="K17" s="85">
        <f>L17+M17+N17</f>
        <v>0</v>
      </c>
      <c r="L17" s="85">
        <f>VLOOKUP(3,AA14:AK17,3,FALSE)</f>
        <v>0</v>
      </c>
      <c r="M17" s="85">
        <f>VLOOKUP(3,AA14:AK17,4,FALSE)</f>
        <v>0</v>
      </c>
      <c r="N17" s="85">
        <f>VLOOKUP(3,AA14:AK17,5,FALSE)</f>
        <v>0</v>
      </c>
      <c r="O17" s="85" t="str">
        <f>VLOOKUP(3,AA14:AK17,6,FALSE) &amp; " - " &amp; VLOOKUP(3,AA14:AK17,7,FALSE)</f>
        <v>0 - 0</v>
      </c>
      <c r="P17" s="84">
        <f>L17*3+M17</f>
        <v>0</v>
      </c>
      <c r="R17" s="55">
        <f>DATE(2018,6,17)+TIME(4,0,0)+gmt_delta</f>
        <v>43268.625</v>
      </c>
      <c r="S17" s="56" t="str">
        <f t="shared" si="3"/>
        <v/>
      </c>
      <c r="T17" s="56" t="str">
        <f t="shared" si="4"/>
        <v/>
      </c>
      <c r="U17" s="54">
        <f t="shared" si="5"/>
        <v>0</v>
      </c>
      <c r="V17" s="55">
        <f t="shared" si="6"/>
        <v>0</v>
      </c>
      <c r="W17" s="55">
        <f t="shared" si="7"/>
        <v>0</v>
      </c>
      <c r="X17" s="55">
        <f t="shared" si="8"/>
        <v>0</v>
      </c>
      <c r="Y17" s="55" t="str">
        <f t="shared" si="9"/>
        <v/>
      </c>
      <c r="AA17" s="55">
        <f>COUNTIF(AN14:AN17,CONCATENATE("&gt;=",AN17))</f>
        <v>3</v>
      </c>
      <c r="AB17" s="54" t="str">
        <f>VLOOKUP("Iran",T,lang,FALSE)</f>
        <v>Iran</v>
      </c>
      <c r="AC17" s="55">
        <f>COUNTIF($S$7:$T$54,"=" &amp; AB17 &amp; "_win")</f>
        <v>0</v>
      </c>
      <c r="AD17" s="55">
        <f>COUNTIF($S$7:$T$54,"=" &amp; AB17 &amp; "_draw")</f>
        <v>0</v>
      </c>
      <c r="AE17" s="55">
        <f>COUNTIF($S$7:$T$54,"=" &amp; AB17 &amp; "_lose")</f>
        <v>0</v>
      </c>
      <c r="AF17" s="55">
        <f>SUMIF($E$7:$E$54,$AB17,$F$7:$F$54) + SUMIF($H$7:$H$54,$AB17,$G$7:$G$54)</f>
        <v>0</v>
      </c>
      <c r="AG17" s="55">
        <f>SUMIF($E$7:$E$54,$AB17,$G$7:$G$54) + SUMIF($H$7:$H$54,$AB17,$F$7:$F$54)</f>
        <v>0</v>
      </c>
      <c r="AH17" s="55">
        <f>(AF17-AG17)*100+AK17*10000+AF17</f>
        <v>0</v>
      </c>
      <c r="AI17" s="55">
        <f>AF17-AG17</f>
        <v>0</v>
      </c>
      <c r="AJ17" s="55">
        <f>(AI17-AI19)/AI18</f>
        <v>0</v>
      </c>
      <c r="AK17" s="55">
        <f>AC17*3+AD17</f>
        <v>0</v>
      </c>
      <c r="AL17" s="55">
        <f>AP17/AP18*1000+AQ17/AQ18*100+AT17/AT18*10+AR17/AR18</f>
        <v>0</v>
      </c>
      <c r="AM17" s="55">
        <f>VLOOKUP(AB17,db_fifarank,2,FALSE)/2000000</f>
        <v>3.9899999999999999E-4</v>
      </c>
      <c r="AN17" s="54">
        <f>1000*AK17/AK18+100*AJ17+10*AF17/AF18+1*AL17/AL18+AM17</f>
        <v>3.9899999999999999E-4</v>
      </c>
      <c r="AP17" s="52">
        <f>SUMPRODUCT(($S$7:$S$54=AB17&amp;"_win")*($U$7:$U$54))+SUMPRODUCT(($T$7:$T$54=AB17&amp;"_win")*($U$7:$U$54))</f>
        <v>0</v>
      </c>
      <c r="AQ17" s="51">
        <f>SUMPRODUCT(($S$7:$S$54=AB17&amp;"_draw")*($U$7:$U$54))+SUMPRODUCT(($T$7:$T$54=AB17&amp;"_draw")*($U$7:$U$54))</f>
        <v>0</v>
      </c>
      <c r="AR17" s="51">
        <f>SUMPRODUCT(($E$7:$E$54=AB17)*($U$7:$U$54)*($F$7:$F$54))+SUMPRODUCT(($H$7:$H$54=AB17)*($U$7:$U$54)*($G$7:$G$54))</f>
        <v>0</v>
      </c>
      <c r="AS17" s="51">
        <f>SUMPRODUCT(($E$7:$E$54=AB17)*($U$7:$U$54)*($G$7:$G$54))+SUMPRODUCT(($H$7:$H$54=AB17)*($U$7:$U$54)*($F$7:$F$54))</f>
        <v>0</v>
      </c>
      <c r="AT17" s="51">
        <f>AR17-AS17</f>
        <v>0</v>
      </c>
      <c r="AY17" s="102" t="str">
        <f>INDEX(T,24+MONTH(R62),lang) &amp; " " &amp; DAY(R62) &amp; ", " &amp; YEAR(R62) &amp; "   " &amp; TEXT(TIME(HOUR(R62),MINUTE(R62),0),"hh:mm")</f>
        <v>Jul 2, 2018   14:00</v>
      </c>
      <c r="AZ17" s="102"/>
      <c r="BA17" s="102"/>
      <c r="BB17" s="110"/>
      <c r="BC17" s="102"/>
      <c r="BD17" s="102"/>
      <c r="BE17" s="102"/>
      <c r="BF17" s="102"/>
      <c r="BG17" s="102"/>
      <c r="BH17" s="102"/>
      <c r="BI17" s="109"/>
      <c r="BJ17" s="108"/>
      <c r="BK17" s="303"/>
      <c r="BL17" s="103" t="str">
        <f>T70</f>
        <v>W58</v>
      </c>
      <c r="BM17" s="78"/>
      <c r="BN17" s="77"/>
      <c r="BO17" s="111"/>
      <c r="BP17" s="116"/>
      <c r="BQ17" s="102"/>
      <c r="BR17" s="102"/>
      <c r="BS17" s="102"/>
      <c r="BT17" s="102"/>
    </row>
    <row r="18" spans="1:72" ht="15" customHeight="1" x14ac:dyDescent="0.25">
      <c r="A18" s="94">
        <v>12</v>
      </c>
      <c r="B18" s="93" t="str">
        <f t="shared" si="0"/>
        <v>Mon</v>
      </c>
      <c r="C18" s="92" t="str">
        <f t="shared" si="1"/>
        <v>Jun 18, 2018</v>
      </c>
      <c r="D18" s="91">
        <f t="shared" si="2"/>
        <v>0.5</v>
      </c>
      <c r="E18" s="90" t="str">
        <f>AB40</f>
        <v>Sweden</v>
      </c>
      <c r="F18" s="89"/>
      <c r="G18" s="88"/>
      <c r="H18" s="87" t="str">
        <f>AB41</f>
        <v>Korea Republic</v>
      </c>
      <c r="J18" s="75" t="str">
        <f>VLOOKUP(4,AA14:AK17,2,FALSE)</f>
        <v>Morocco</v>
      </c>
      <c r="K18" s="74">
        <f>L18+M18+N18</f>
        <v>0</v>
      </c>
      <c r="L18" s="74">
        <f>VLOOKUP(4,AA14:AK17,3,FALSE)</f>
        <v>0</v>
      </c>
      <c r="M18" s="74">
        <f>VLOOKUP(4,AA14:AK17,4,FALSE)</f>
        <v>0</v>
      </c>
      <c r="N18" s="74">
        <f>VLOOKUP(4,AA14:AK17,5,FALSE)</f>
        <v>0</v>
      </c>
      <c r="O18" s="74" t="str">
        <f>VLOOKUP(4,AA14:AK17,6,FALSE) &amp; " - " &amp; VLOOKUP(4,AA14:AK17,7,FALSE)</f>
        <v>0 - 0</v>
      </c>
      <c r="P18" s="73">
        <f>L18*3+M18</f>
        <v>0</v>
      </c>
      <c r="R18" s="55">
        <f>DATE(2018,6,18)+TIME(1,0,0)+gmt_delta</f>
        <v>43269.5</v>
      </c>
      <c r="S18" s="56" t="str">
        <f t="shared" si="3"/>
        <v/>
      </c>
      <c r="T18" s="56" t="str">
        <f t="shared" si="4"/>
        <v/>
      </c>
      <c r="U18" s="54">
        <f t="shared" si="5"/>
        <v>0</v>
      </c>
      <c r="V18" s="55">
        <f t="shared" si="6"/>
        <v>0</v>
      </c>
      <c r="W18" s="55">
        <f t="shared" si="7"/>
        <v>0</v>
      </c>
      <c r="X18" s="55">
        <f t="shared" si="8"/>
        <v>0</v>
      </c>
      <c r="Y18" s="55" t="str">
        <f t="shared" si="9"/>
        <v/>
      </c>
      <c r="AC18" s="55">
        <f>MAX(AC14:AC17)-MIN(AC14:AC17)+1</f>
        <v>1</v>
      </c>
      <c r="AD18" s="55">
        <f>MAX(AD14:AD17)-MIN(AD14:AD17)+1</f>
        <v>1</v>
      </c>
      <c r="AE18" s="55">
        <f>MAX(AE14:AE17)-MIN(AE14:AE17)+1</f>
        <v>1</v>
      </c>
      <c r="AF18" s="55">
        <f>MAX(AF14:AF17)-MIN(AF14:AF17)+1</f>
        <v>1</v>
      </c>
      <c r="AG18" s="55">
        <f>MAX(AG14:AG17)-MIN(AG14:AG17)+1</f>
        <v>1</v>
      </c>
      <c r="AH18" s="55">
        <f>MAX(AH14:AH17)-AH19+1</f>
        <v>1</v>
      </c>
      <c r="AI18" s="55">
        <f>MAX(AI14:AI17)-AI19+1</f>
        <v>1</v>
      </c>
      <c r="AK18" s="55">
        <f>MAX(AK14:AK17)-MIN(AK14:AK17)+1</f>
        <v>1</v>
      </c>
      <c r="AL18" s="55">
        <f>MAX(AL14:AL17)-MIN(AL14:AL17)+1</f>
        <v>1</v>
      </c>
      <c r="AP18" s="55">
        <f>MAX(AP14:AP17)-MIN(AP14:AP17)+1</f>
        <v>1</v>
      </c>
      <c r="AQ18" s="55">
        <f>MAX(AQ14:AQ17)-MIN(AQ14:AQ17)+1</f>
        <v>1</v>
      </c>
      <c r="AR18" s="55">
        <f>MAX(AR14:AR17)-MIN(AR14:AR17)+1</f>
        <v>1</v>
      </c>
      <c r="AS18" s="55">
        <f>MAX(AS14:AS17)-MIN(AS14:AS17)+1</f>
        <v>1</v>
      </c>
      <c r="AT18" s="55">
        <f>MAX(AT14:AT17)-MIN(AT14:AT17)+1</f>
        <v>1</v>
      </c>
      <c r="AY18" s="302">
        <v>53</v>
      </c>
      <c r="AZ18" s="107" t="str">
        <f>AO32</f>
        <v>1E</v>
      </c>
      <c r="BA18" s="106"/>
      <c r="BB18" s="105"/>
      <c r="BC18" s="102"/>
      <c r="BD18" s="102"/>
      <c r="BE18" s="102"/>
      <c r="BF18" s="102"/>
      <c r="BG18" s="102"/>
      <c r="BH18" s="102"/>
      <c r="BI18" s="109"/>
      <c r="BJ18" s="102"/>
      <c r="BK18" s="102"/>
      <c r="BL18" s="102"/>
      <c r="BM18" s="102"/>
      <c r="BN18" s="102"/>
      <c r="BO18" s="109"/>
      <c r="BP18" s="102"/>
      <c r="BQ18" s="102"/>
      <c r="BR18" s="102"/>
      <c r="BS18" s="102"/>
      <c r="BT18" s="102"/>
    </row>
    <row r="19" spans="1:72" ht="15" customHeight="1" x14ac:dyDescent="0.25">
      <c r="A19" s="94">
        <v>13</v>
      </c>
      <c r="B19" s="93" t="str">
        <f t="shared" si="0"/>
        <v>Mon</v>
      </c>
      <c r="C19" s="92" t="str">
        <f t="shared" si="1"/>
        <v>Jun 18, 2018</v>
      </c>
      <c r="D19" s="91">
        <f t="shared" si="2"/>
        <v>0.625</v>
      </c>
      <c r="E19" s="90" t="str">
        <f>AB44</f>
        <v>Belgium</v>
      </c>
      <c r="F19" s="89"/>
      <c r="G19" s="88"/>
      <c r="H19" s="87" t="str">
        <f>AB45</f>
        <v>Panama</v>
      </c>
      <c r="J19" s="115"/>
      <c r="K19" s="114"/>
      <c r="L19" s="114"/>
      <c r="M19" s="114"/>
      <c r="N19" s="114"/>
      <c r="O19" s="114"/>
      <c r="P19" s="114"/>
      <c r="R19" s="55">
        <f>DATE(2018,6,18)+TIME(4,0,0)+gmt_delta</f>
        <v>43269.625</v>
      </c>
      <c r="S19" s="56" t="str">
        <f t="shared" si="3"/>
        <v/>
      </c>
      <c r="T19" s="56" t="str">
        <f t="shared" si="4"/>
        <v/>
      </c>
      <c r="U19" s="54">
        <f t="shared" si="5"/>
        <v>0</v>
      </c>
      <c r="V19" s="55">
        <f t="shared" si="6"/>
        <v>0</v>
      </c>
      <c r="W19" s="55">
        <f t="shared" si="7"/>
        <v>0</v>
      </c>
      <c r="X19" s="55">
        <f t="shared" si="8"/>
        <v>0</v>
      </c>
      <c r="Y19" s="55" t="str">
        <f t="shared" si="9"/>
        <v/>
      </c>
      <c r="AH19" s="55">
        <f>MIN(AH14:AH17)</f>
        <v>0</v>
      </c>
      <c r="AI19" s="55">
        <f>MIN(AI14:AI17)</f>
        <v>0</v>
      </c>
      <c r="AY19" s="303"/>
      <c r="AZ19" s="103" t="str">
        <f>AO39</f>
        <v>2F</v>
      </c>
      <c r="BA19" s="78"/>
      <c r="BB19" s="77"/>
      <c r="BC19" s="111"/>
      <c r="BD19" s="102"/>
      <c r="BE19" s="102" t="str">
        <f>INDEX(T,24+MONTH(R70),lang) &amp; " " &amp; DAY(R70) &amp; ", " &amp; YEAR(R70) &amp; "   " &amp; TEXT(TIME(HOUR(R70),MINUTE(R70),0),"hh:mm")</f>
        <v>Jul 6, 2018   18:00</v>
      </c>
      <c r="BF19" s="102"/>
      <c r="BG19" s="102"/>
      <c r="BH19" s="110"/>
      <c r="BI19" s="109"/>
      <c r="BJ19" s="102"/>
      <c r="BK19" s="102"/>
      <c r="BL19" s="102"/>
      <c r="BM19" s="102"/>
      <c r="BN19" s="102"/>
      <c r="BO19" s="109"/>
      <c r="BP19" s="102"/>
      <c r="BQ19" s="102"/>
      <c r="BR19" s="102"/>
      <c r="BS19" s="102"/>
      <c r="BT19" s="102"/>
    </row>
    <row r="20" spans="1:72" ht="15" customHeight="1" x14ac:dyDescent="0.25">
      <c r="A20" s="94">
        <v>14</v>
      </c>
      <c r="B20" s="93" t="str">
        <f t="shared" si="0"/>
        <v>Mon</v>
      </c>
      <c r="C20" s="92" t="str">
        <f t="shared" si="1"/>
        <v>Jun 18, 2018</v>
      </c>
      <c r="D20" s="91">
        <f t="shared" si="2"/>
        <v>0.75</v>
      </c>
      <c r="E20" s="90" t="str">
        <f>AB46</f>
        <v>Tunisia</v>
      </c>
      <c r="F20" s="89"/>
      <c r="G20" s="88"/>
      <c r="H20" s="87" t="str">
        <f>AB47</f>
        <v>England</v>
      </c>
      <c r="J20" s="100" t="str">
        <f>INDEX(T,9,lang) &amp; " " &amp; "C"</f>
        <v>Group C</v>
      </c>
      <c r="K20" s="99" t="str">
        <f>INDEX(T,10,lang)</f>
        <v>PL</v>
      </c>
      <c r="L20" s="99" t="str">
        <f>INDEX(T,11,lang)</f>
        <v>W</v>
      </c>
      <c r="M20" s="99" t="str">
        <f>INDEX(T,12,lang)</f>
        <v>DRAW</v>
      </c>
      <c r="N20" s="99" t="str">
        <f>INDEX(T,13,lang)</f>
        <v>L</v>
      </c>
      <c r="O20" s="99" t="str">
        <f>INDEX(T,14,lang)</f>
        <v>GF - GA</v>
      </c>
      <c r="P20" s="98" t="str">
        <f>INDEX(T,15,lang)</f>
        <v>PNT</v>
      </c>
      <c r="R20" s="55">
        <f>DATE(2018,6,18)+TIME(7,0,0)+gmt_delta</f>
        <v>43269.75</v>
      </c>
      <c r="S20" s="56" t="str">
        <f t="shared" si="3"/>
        <v/>
      </c>
      <c r="T20" s="56" t="str">
        <f t="shared" si="4"/>
        <v/>
      </c>
      <c r="U20" s="54">
        <f t="shared" si="5"/>
        <v>0</v>
      </c>
      <c r="V20" s="55">
        <f t="shared" si="6"/>
        <v>0</v>
      </c>
      <c r="W20" s="55">
        <f t="shared" si="7"/>
        <v>0</v>
      </c>
      <c r="X20" s="55">
        <f t="shared" si="8"/>
        <v>0</v>
      </c>
      <c r="Y20" s="55" t="str">
        <f t="shared" si="9"/>
        <v/>
      </c>
      <c r="AA20" s="55">
        <f>COUNTIF(AN20:AN23,CONCATENATE("&gt;=",AN20))</f>
        <v>1</v>
      </c>
      <c r="AB20" s="54" t="str">
        <f>VLOOKUP("France",T,lang,FALSE)</f>
        <v>France</v>
      </c>
      <c r="AC20" s="55">
        <f>COUNTIF($S$7:$T$54,"=" &amp; AB20 &amp; "_win")</f>
        <v>0</v>
      </c>
      <c r="AD20" s="55">
        <f>COUNTIF($S$7:$T$54,"=" &amp; AB20 &amp; "_draw")</f>
        <v>0</v>
      </c>
      <c r="AE20" s="55">
        <f>COUNTIF($S$7:$T$54,"=" &amp; AB20 &amp; "_lose")</f>
        <v>0</v>
      </c>
      <c r="AF20" s="55">
        <f>SUMIF($E$7:$E$54,$AB20,$F$7:$F$54) + SUMIF($H$7:$H$54,$AB20,$G$7:$G$54)</f>
        <v>0</v>
      </c>
      <c r="AG20" s="55">
        <f>SUMIF($E$7:$E$54,$AB20,$G$7:$G$54) + SUMIF($H$7:$H$54,$AB20,$F$7:$F$54)</f>
        <v>0</v>
      </c>
      <c r="AH20" s="55">
        <f>(AF20-AG20)*100+AK20*10000+AF20</f>
        <v>0</v>
      </c>
      <c r="AI20" s="55">
        <f>AF20-AG20</f>
        <v>0</v>
      </c>
      <c r="AJ20" s="55">
        <f>(AI20-AI25)/AI24</f>
        <v>0</v>
      </c>
      <c r="AK20" s="55">
        <f>AC20*3+AD20</f>
        <v>0</v>
      </c>
      <c r="AL20" s="55">
        <f>AP20/AP24*1000+AQ20/AQ24*100+AT20/AT24*10+AR20/AR24</f>
        <v>0</v>
      </c>
      <c r="AM20" s="55">
        <f>VLOOKUP(AB20,db_fifarank,2,FALSE)/2000000</f>
        <v>5.9150000000000001E-4</v>
      </c>
      <c r="AN20" s="54">
        <f>1000*AK20/AK24+100*AJ20+10*AF20/AF24+1*AL20/AL24+AM20</f>
        <v>5.9150000000000001E-4</v>
      </c>
      <c r="AO20" s="53" t="str">
        <f>IF(SUM(AC20:AE23)=12,J21,INDEX(T,74,lang))</f>
        <v>1C</v>
      </c>
      <c r="AP20" s="52">
        <f>SUMPRODUCT(($S$7:$S$54=AB20&amp;"_win")*($U$7:$U$54))+SUMPRODUCT(($T$7:$T$54=AB20&amp;"_win")*($U$7:$U$54))</f>
        <v>0</v>
      </c>
      <c r="AQ20" s="51">
        <f>SUMPRODUCT(($S$7:$S$54=AB20&amp;"_draw")*($U$7:$U$54))+SUMPRODUCT(($T$7:$T$54=AB20&amp;"_draw")*($U$7:$U$54))</f>
        <v>0</v>
      </c>
      <c r="AR20" s="51">
        <f>SUMPRODUCT(($E$7:$E$54=AB20)*($U$7:$U$54)*($F$7:$F$54))+SUMPRODUCT(($H$7:$H$54=AB20)*($U$7:$U$54)*($G$7:$G$54))</f>
        <v>0</v>
      </c>
      <c r="AS20" s="51">
        <f>SUMPRODUCT(($E$7:$E$54=AB20)*($U$7:$U$54)*($G$7:$G$54))+SUMPRODUCT(($H$7:$H$54=AB20)*($U$7:$U$54)*($F$7:$F$54))</f>
        <v>0</v>
      </c>
      <c r="AT20" s="51">
        <f>AR20-AS20</f>
        <v>0</v>
      </c>
      <c r="AY20" s="102"/>
      <c r="AZ20" s="102"/>
      <c r="BA20" s="102"/>
      <c r="BB20" s="102"/>
      <c r="BC20" s="109"/>
      <c r="BD20" s="102"/>
      <c r="BE20" s="302">
        <v>58</v>
      </c>
      <c r="BF20" s="107" t="str">
        <f>T62</f>
        <v>W53</v>
      </c>
      <c r="BG20" s="106"/>
      <c r="BH20" s="105"/>
      <c r="BI20" s="104"/>
      <c r="BJ20" s="102"/>
      <c r="BK20" s="102"/>
      <c r="BL20" s="102"/>
      <c r="BM20" s="102"/>
      <c r="BN20" s="102"/>
      <c r="BO20" s="109"/>
      <c r="BP20" s="102"/>
      <c r="BQ20" s="102"/>
      <c r="BR20" s="102"/>
      <c r="BS20" s="102"/>
      <c r="BT20" s="102"/>
    </row>
    <row r="21" spans="1:72" ht="15" customHeight="1" x14ac:dyDescent="0.25">
      <c r="A21" s="94">
        <v>15</v>
      </c>
      <c r="B21" s="93" t="str">
        <f t="shared" si="0"/>
        <v>Tue</v>
      </c>
      <c r="C21" s="92" t="str">
        <f t="shared" si="1"/>
        <v>Jun 19, 2018</v>
      </c>
      <c r="D21" s="91">
        <f t="shared" si="2"/>
        <v>0.625</v>
      </c>
      <c r="E21" s="90" t="str">
        <f>AB50</f>
        <v>Poland</v>
      </c>
      <c r="F21" s="89"/>
      <c r="G21" s="88"/>
      <c r="H21" s="87" t="str">
        <f>AB51</f>
        <v>Senegal</v>
      </c>
      <c r="J21" s="97" t="str">
        <f>VLOOKUP(1,AA20:AK23,2,FALSE)</f>
        <v>France</v>
      </c>
      <c r="K21" s="96">
        <f>L21+M21+N21</f>
        <v>0</v>
      </c>
      <c r="L21" s="96">
        <f>VLOOKUP(1,AA20:AK23,3,FALSE)</f>
        <v>0</v>
      </c>
      <c r="M21" s="96">
        <f>VLOOKUP(1,AA20:AK23,4,FALSE)</f>
        <v>0</v>
      </c>
      <c r="N21" s="96">
        <f>VLOOKUP(1,AA20:AK23,5,FALSE)</f>
        <v>0</v>
      </c>
      <c r="O21" s="96" t="str">
        <f>VLOOKUP(1,AA20:AK23,6,FALSE) &amp; " - " &amp; VLOOKUP(1,AA20:AK23,7,FALSE)</f>
        <v>0 - 0</v>
      </c>
      <c r="P21" s="95">
        <f>L21*3+M21</f>
        <v>0</v>
      </c>
      <c r="R21" s="55">
        <f>DATE(2018,6,19)+TIME(4,0,0)+gmt_delta</f>
        <v>43270.625</v>
      </c>
      <c r="S21" s="56" t="str">
        <f t="shared" si="3"/>
        <v/>
      </c>
      <c r="T21" s="56" t="str">
        <f t="shared" si="4"/>
        <v/>
      </c>
      <c r="U21" s="54">
        <f t="shared" si="5"/>
        <v>0</v>
      </c>
      <c r="V21" s="55">
        <f t="shared" si="6"/>
        <v>0</v>
      </c>
      <c r="W21" s="55">
        <f t="shared" si="7"/>
        <v>0</v>
      </c>
      <c r="X21" s="55">
        <f t="shared" si="8"/>
        <v>0</v>
      </c>
      <c r="Y21" s="55" t="str">
        <f t="shared" si="9"/>
        <v/>
      </c>
      <c r="AA21" s="55">
        <f>COUNTIF(AN20:AN23,CONCATENATE("&gt;=",AN21))</f>
        <v>4</v>
      </c>
      <c r="AB21" s="54" t="str">
        <f>VLOOKUP("Australia",T,lang,FALSE)</f>
        <v>Australia</v>
      </c>
      <c r="AC21" s="55">
        <f>COUNTIF($S$7:$T$54,"=" &amp; AB21 &amp; "_win")</f>
        <v>0</v>
      </c>
      <c r="AD21" s="55">
        <f>COUNTIF($S$7:$T$54,"=" &amp; AB21 &amp; "_draw")</f>
        <v>0</v>
      </c>
      <c r="AE21" s="55">
        <f>COUNTIF($S$7:$T$54,"=" &amp; AB21 &amp; "_lose")</f>
        <v>0</v>
      </c>
      <c r="AF21" s="55">
        <f>SUMIF($E$7:$E$54,$AB21,$F$7:$F$54) + SUMIF($H$7:$H$54,$AB21,$G$7:$G$54)</f>
        <v>0</v>
      </c>
      <c r="AG21" s="55">
        <f>SUMIF($E$7:$E$54,$AB21,$G$7:$G$54) + SUMIF($H$7:$H$54,$AB21,$F$7:$F$54)</f>
        <v>0</v>
      </c>
      <c r="AH21" s="55">
        <f>(AF21-AG21)*100+AK21*10000+AF21</f>
        <v>0</v>
      </c>
      <c r="AI21" s="55">
        <f>AF21-AG21</f>
        <v>0</v>
      </c>
      <c r="AJ21" s="55">
        <f>(AI21-AI25)/AI24</f>
        <v>0</v>
      </c>
      <c r="AK21" s="55">
        <f>AC21*3+AD21</f>
        <v>0</v>
      </c>
      <c r="AL21" s="55">
        <f>AP21/AP24*1000+AQ21/AQ24*100+AT21/AT24*10+AR21/AR24</f>
        <v>0</v>
      </c>
      <c r="AM21" s="55">
        <f>VLOOKUP(AB21,db_fifarank,2,FALSE)/2000000</f>
        <v>3.7350000000000003E-4</v>
      </c>
      <c r="AN21" s="54">
        <f>1000*AK21/AK24+100*AJ21+10*AF21/AF24+1*AL21/AL24+AM21</f>
        <v>3.7350000000000003E-4</v>
      </c>
      <c r="AO21" s="53" t="str">
        <f>IF(SUM(AC20:AE23)=12,J22,INDEX(T,75,lang))</f>
        <v>2C</v>
      </c>
      <c r="AP21" s="52">
        <f>SUMPRODUCT(($S$7:$S$54=AB21&amp;"_win")*($U$7:$U$54))+SUMPRODUCT(($T$7:$T$54=AB21&amp;"_win")*($U$7:$U$54))</f>
        <v>0</v>
      </c>
      <c r="AQ21" s="51">
        <f>SUMPRODUCT(($S$7:$S$54=AB21&amp;"_draw")*($U$7:$U$54))+SUMPRODUCT(($T$7:$T$54=AB21&amp;"_draw")*($U$7:$U$54))</f>
        <v>0</v>
      </c>
      <c r="AR21" s="51">
        <f>SUMPRODUCT(($E$7:$E$54=AB21)*($U$7:$U$54)*($F$7:$F$54))+SUMPRODUCT(($H$7:$H$54=AB21)*($U$7:$U$54)*($G$7:$G$54))</f>
        <v>0</v>
      </c>
      <c r="AS21" s="51">
        <f>SUMPRODUCT(($E$7:$E$54=AB21)*($U$7:$U$54)*($G$7:$G$54))+SUMPRODUCT(($H$7:$H$54=AB21)*($U$7:$U$54)*($F$7:$F$54))</f>
        <v>0</v>
      </c>
      <c r="AT21" s="51">
        <f>AR21-AS21</f>
        <v>0</v>
      </c>
      <c r="AY21" s="102" t="str">
        <f>INDEX(T,24+MONTH(R63),lang) &amp; " " &amp; DAY(R63) &amp; ", " &amp; YEAR(R63) &amp; "   " &amp; TEXT(TIME(HOUR(R63),MINUTE(R63),0),"hh:mm")</f>
        <v>Jul 2, 2018   18:00</v>
      </c>
      <c r="AZ21" s="102"/>
      <c r="BA21" s="102"/>
      <c r="BB21" s="110"/>
      <c r="BC21" s="109"/>
      <c r="BD21" s="108"/>
      <c r="BE21" s="303"/>
      <c r="BF21" s="103" t="str">
        <f>T63</f>
        <v>W54</v>
      </c>
      <c r="BG21" s="78"/>
      <c r="BH21" s="77"/>
      <c r="BI21" s="102"/>
      <c r="BJ21" s="102"/>
      <c r="BK21" s="102"/>
      <c r="BL21" s="102"/>
      <c r="BM21" s="102"/>
      <c r="BN21" s="102"/>
      <c r="BO21" s="109"/>
      <c r="BP21" s="102"/>
      <c r="BQ21" s="102"/>
      <c r="BR21" s="102"/>
      <c r="BS21" s="102"/>
      <c r="BT21" s="102"/>
    </row>
    <row r="22" spans="1:72" ht="15" customHeight="1" x14ac:dyDescent="0.25">
      <c r="A22" s="94">
        <v>16</v>
      </c>
      <c r="B22" s="93" t="str">
        <f t="shared" si="0"/>
        <v>Tue</v>
      </c>
      <c r="C22" s="92" t="str">
        <f t="shared" si="1"/>
        <v>Jun 19, 2018</v>
      </c>
      <c r="D22" s="91">
        <f t="shared" si="2"/>
        <v>0.5</v>
      </c>
      <c r="E22" s="90" t="str">
        <f>AB52</f>
        <v>Colombia</v>
      </c>
      <c r="F22" s="89"/>
      <c r="G22" s="88"/>
      <c r="H22" s="87" t="str">
        <f>AB53</f>
        <v>Japan</v>
      </c>
      <c r="J22" s="86" t="str">
        <f>VLOOKUP(2,AA20:AK23,2,FALSE)</f>
        <v>Peru</v>
      </c>
      <c r="K22" s="85">
        <f>L22+M22+N22</f>
        <v>0</v>
      </c>
      <c r="L22" s="85">
        <f>VLOOKUP(2,AA20:AK23,3,FALSE)</f>
        <v>0</v>
      </c>
      <c r="M22" s="85">
        <f>VLOOKUP(2,AA20:AK23,4,FALSE)</f>
        <v>0</v>
      </c>
      <c r="N22" s="85">
        <f>VLOOKUP(2,AA20:AK23,5,FALSE)</f>
        <v>0</v>
      </c>
      <c r="O22" s="85" t="str">
        <f>VLOOKUP(2,AA20:AK23,6,FALSE) &amp; " - " &amp; VLOOKUP(2,AA20:AK23,7,FALSE)</f>
        <v>0 - 0</v>
      </c>
      <c r="P22" s="84">
        <f>L22*3+M22</f>
        <v>0</v>
      </c>
      <c r="R22" s="55">
        <f>DATE(2018,6,19)+TIME(1,0,0)+gmt_delta</f>
        <v>43270.5</v>
      </c>
      <c r="S22" s="56" t="str">
        <f t="shared" si="3"/>
        <v/>
      </c>
      <c r="T22" s="56" t="str">
        <f t="shared" si="4"/>
        <v/>
      </c>
      <c r="U22" s="54">
        <f t="shared" si="5"/>
        <v>0</v>
      </c>
      <c r="V22" s="55">
        <f t="shared" si="6"/>
        <v>0</v>
      </c>
      <c r="W22" s="55">
        <f t="shared" si="7"/>
        <v>0</v>
      </c>
      <c r="X22" s="55">
        <f t="shared" si="8"/>
        <v>0</v>
      </c>
      <c r="Y22" s="55" t="str">
        <f t="shared" si="9"/>
        <v/>
      </c>
      <c r="AA22" s="55">
        <f>COUNTIF(AN20:AN23,CONCATENATE("&gt;=",AN22))</f>
        <v>2</v>
      </c>
      <c r="AB22" s="54" t="str">
        <f>VLOOKUP("Peru",T,lang,FALSE)</f>
        <v>Peru</v>
      </c>
      <c r="AC22" s="55">
        <f>COUNTIF($S$7:$T$54,"=" &amp; AB22 &amp; "_win")</f>
        <v>0</v>
      </c>
      <c r="AD22" s="55">
        <f>COUNTIF($S$7:$T$54,"=" &amp; AB22 &amp; "_draw")</f>
        <v>0</v>
      </c>
      <c r="AE22" s="55">
        <f>COUNTIF($S$7:$T$54,"=" &amp; AB22 &amp; "_lose")</f>
        <v>0</v>
      </c>
      <c r="AF22" s="55">
        <f>SUMIF($E$7:$E$54,$AB22,$F$7:$F$54) + SUMIF($H$7:$H$54,$AB22,$G$7:$G$54)</f>
        <v>0</v>
      </c>
      <c r="AG22" s="55">
        <f>SUMIF($E$7:$E$54,$AB22,$G$7:$G$54) + SUMIF($H$7:$H$54,$AB22,$F$7:$F$54)</f>
        <v>0</v>
      </c>
      <c r="AH22" s="55">
        <f>(AF22-AG22)*100+AK22*10000+AF22</f>
        <v>0</v>
      </c>
      <c r="AI22" s="55">
        <f>AF22-AG22</f>
        <v>0</v>
      </c>
      <c r="AJ22" s="55">
        <f>(AI22-AI25)/AI24</f>
        <v>0</v>
      </c>
      <c r="AK22" s="55">
        <f>AC22*3+AD22</f>
        <v>0</v>
      </c>
      <c r="AL22" s="55">
        <f>AP22/AP24*1000+AQ22/AQ24*100+AT22/AT24*10+AR22/AR24</f>
        <v>0</v>
      </c>
      <c r="AM22" s="55">
        <f>VLOOKUP(AB22,db_fifarank,2,FALSE)/2000000</f>
        <v>5.6400000000000005E-4</v>
      </c>
      <c r="AN22" s="54">
        <f>1000*AK22/AK24+100*AJ22+10*AF22/AF24+1*AL22/AL24+AM22</f>
        <v>5.6400000000000005E-4</v>
      </c>
      <c r="AP22" s="52">
        <f>SUMPRODUCT(($S$7:$S$54=AB22&amp;"_win")*($U$7:$U$54))+SUMPRODUCT(($T$7:$T$54=AB22&amp;"_win")*($U$7:$U$54))</f>
        <v>0</v>
      </c>
      <c r="AQ22" s="51">
        <f>SUMPRODUCT(($S$7:$S$54=AB22&amp;"_draw")*($U$7:$U$54))+SUMPRODUCT(($T$7:$T$54=AB22&amp;"_draw")*($U$7:$U$54))</f>
        <v>0</v>
      </c>
      <c r="AR22" s="51">
        <f>SUMPRODUCT(($E$7:$E$54=AB22)*($U$7:$U$54)*($F$7:$F$54))+SUMPRODUCT(($H$7:$H$54=AB22)*($U$7:$U$54)*($G$7:$G$54))</f>
        <v>0</v>
      </c>
      <c r="AS22" s="51">
        <f>SUMPRODUCT(($E$7:$E$54=AB22)*($U$7:$U$54)*($G$7:$G$54))+SUMPRODUCT(($H$7:$H$54=AB22)*($U$7:$U$54)*($F$7:$F$54))</f>
        <v>0</v>
      </c>
      <c r="AT22" s="51">
        <f>AR22-AS22</f>
        <v>0</v>
      </c>
      <c r="AY22" s="302">
        <v>54</v>
      </c>
      <c r="AZ22" s="107" t="str">
        <f>AO44</f>
        <v>1G</v>
      </c>
      <c r="BA22" s="106"/>
      <c r="BB22" s="105"/>
      <c r="BC22" s="104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9"/>
      <c r="BP22" s="102"/>
      <c r="BQ22" s="102" t="str">
        <f>INDEX(T,24+MONTH(R85),lang) &amp; " " &amp; DAY(R85) &amp; ", " &amp; YEAR(R85) &amp; "   " &amp; TEXT(TIME(HOUR(R85),MINUTE(R85),0),"hh:mm")</f>
        <v>Jul 15, 2018   15:00</v>
      </c>
      <c r="BR22" s="102"/>
      <c r="BS22" s="102"/>
      <c r="BT22" s="110"/>
    </row>
    <row r="23" spans="1:72" ht="15" customHeight="1" x14ac:dyDescent="0.25">
      <c r="A23" s="94">
        <v>17</v>
      </c>
      <c r="B23" s="93" t="str">
        <f t="shared" si="0"/>
        <v>Tue</v>
      </c>
      <c r="C23" s="92" t="str">
        <f t="shared" si="1"/>
        <v>Jun 19, 2018</v>
      </c>
      <c r="D23" s="91">
        <f t="shared" si="2"/>
        <v>0.75</v>
      </c>
      <c r="E23" s="90" t="str">
        <f>AB8</f>
        <v>Russia</v>
      </c>
      <c r="F23" s="89"/>
      <c r="G23" s="88"/>
      <c r="H23" s="87" t="str">
        <f>AB10</f>
        <v>Egypt</v>
      </c>
      <c r="J23" s="86" t="str">
        <f>VLOOKUP(3,AA20:AK23,2,FALSE)</f>
        <v>Denmark</v>
      </c>
      <c r="K23" s="85">
        <f>L23+M23+N23</f>
        <v>0</v>
      </c>
      <c r="L23" s="85">
        <f>VLOOKUP(3,AA20:AK23,3,FALSE)</f>
        <v>0</v>
      </c>
      <c r="M23" s="85">
        <f>VLOOKUP(3,AA20:AK23,4,FALSE)</f>
        <v>0</v>
      </c>
      <c r="N23" s="85">
        <f>VLOOKUP(3,AA20:AK23,5,FALSE)</f>
        <v>0</v>
      </c>
      <c r="O23" s="85" t="str">
        <f>VLOOKUP(3,AA20:AK23,6,FALSE) &amp; " - " &amp; VLOOKUP(3,AA20:AK23,7,FALSE)</f>
        <v>0 - 0</v>
      </c>
      <c r="P23" s="84">
        <f>L23*3+M23</f>
        <v>0</v>
      </c>
      <c r="R23" s="55">
        <f>DATE(2018,6,19)+TIME(7,0,0)+gmt_delta</f>
        <v>43270.75</v>
      </c>
      <c r="S23" s="56" t="str">
        <f t="shared" si="3"/>
        <v/>
      </c>
      <c r="T23" s="56" t="str">
        <f t="shared" si="4"/>
        <v/>
      </c>
      <c r="U23" s="54">
        <f t="shared" si="5"/>
        <v>0</v>
      </c>
      <c r="V23" s="55">
        <f t="shared" si="6"/>
        <v>0</v>
      </c>
      <c r="W23" s="55">
        <f t="shared" si="7"/>
        <v>0</v>
      </c>
      <c r="X23" s="55">
        <f t="shared" si="8"/>
        <v>0</v>
      </c>
      <c r="Y23" s="55" t="str">
        <f t="shared" si="9"/>
        <v/>
      </c>
      <c r="AA23" s="55">
        <f>COUNTIF(AN20:AN23,CONCATENATE("&gt;=",AN23))</f>
        <v>3</v>
      </c>
      <c r="AB23" s="54" t="str">
        <f>VLOOKUP("Denmark",T,lang,FALSE)</f>
        <v>Denmark</v>
      </c>
      <c r="AC23" s="55">
        <f>COUNTIF($S$7:$T$54,"=" &amp; AB23 &amp; "_win")</f>
        <v>0</v>
      </c>
      <c r="AD23" s="55">
        <f>COUNTIF($S$7:$T$54,"=" &amp; AB23 &amp; "_draw")</f>
        <v>0</v>
      </c>
      <c r="AE23" s="55">
        <f>COUNTIF($S$7:$T$54,"=" &amp; AB23 &amp; "_lose")</f>
        <v>0</v>
      </c>
      <c r="AF23" s="55">
        <f>SUMIF($E$7:$E$54,$AB23,$F$7:$F$54) + SUMIF($H$7:$H$54,$AB23,$G$7:$G$54)</f>
        <v>0</v>
      </c>
      <c r="AG23" s="55">
        <f>SUMIF($E$7:$E$54,$AB23,$G$7:$G$54) + SUMIF($H$7:$H$54,$AB23,$F$7:$F$54)</f>
        <v>0</v>
      </c>
      <c r="AH23" s="55">
        <f>(AF23-AG23)*100+AK23*10000+AF23</f>
        <v>0</v>
      </c>
      <c r="AI23" s="55">
        <f>AF23-AG23</f>
        <v>0</v>
      </c>
      <c r="AJ23" s="55">
        <f>(AI23-AI25)/AI24</f>
        <v>0</v>
      </c>
      <c r="AK23" s="55">
        <f>AC23*3+AD23</f>
        <v>0</v>
      </c>
      <c r="AL23" s="55">
        <f>AP23/AP24*1000+AQ23/AQ24*100+AT23/AT24*10+AR23/AR24</f>
        <v>0</v>
      </c>
      <c r="AM23" s="55">
        <f>VLOOKUP(AB23,db_fifarank,2,FALSE)/2000000</f>
        <v>5.4949999999999997E-4</v>
      </c>
      <c r="AN23" s="54">
        <f>1000*AK23/AK24+100*AJ23+10*AF23/AF24+1*AL23/AL24+AM23</f>
        <v>5.4949999999999997E-4</v>
      </c>
      <c r="AP23" s="52">
        <f>SUMPRODUCT(($S$7:$S$54=AB23&amp;"_win")*($U$7:$U$54))+SUMPRODUCT(($T$7:$T$54=AB23&amp;"_win")*($U$7:$U$54))</f>
        <v>0</v>
      </c>
      <c r="AQ23" s="51">
        <f>SUMPRODUCT(($S$7:$S$54=AB23&amp;"_draw")*($U$7:$U$54))+SUMPRODUCT(($T$7:$T$54=AB23&amp;"_draw")*($U$7:$U$54))</f>
        <v>0</v>
      </c>
      <c r="AR23" s="51">
        <f>SUMPRODUCT(($E$7:$E$54=AB23)*($U$7:$U$54)*($F$7:$F$54))+SUMPRODUCT(($H$7:$H$54=AB23)*($U$7:$U$54)*($G$7:$G$54))</f>
        <v>0</v>
      </c>
      <c r="AS23" s="51">
        <f>SUMPRODUCT(($E$7:$E$54=AB23)*($U$7:$U$54)*($G$7:$G$54))+SUMPRODUCT(($H$7:$H$54=AB23)*($U$7:$U$54)*($F$7:$F$54))</f>
        <v>0</v>
      </c>
      <c r="AT23" s="51">
        <f>AR23-AS23</f>
        <v>0</v>
      </c>
      <c r="AY23" s="303"/>
      <c r="AZ23" s="103" t="str">
        <f>AO51</f>
        <v>2H</v>
      </c>
      <c r="BA23" s="78"/>
      <c r="BB23" s="77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9"/>
      <c r="BP23" s="102"/>
      <c r="BQ23" s="302">
        <v>64</v>
      </c>
      <c r="BR23" s="107" t="str">
        <f>T76</f>
        <v>W61</v>
      </c>
      <c r="BS23" s="106"/>
      <c r="BT23" s="105"/>
    </row>
    <row r="24" spans="1:72" ht="15" customHeight="1" x14ac:dyDescent="0.25">
      <c r="A24" s="94">
        <v>18</v>
      </c>
      <c r="B24" s="93" t="str">
        <f t="shared" si="0"/>
        <v>Wed</v>
      </c>
      <c r="C24" s="92" t="str">
        <f t="shared" si="1"/>
        <v>Jun 20, 2018</v>
      </c>
      <c r="D24" s="91">
        <f t="shared" si="2"/>
        <v>0.625</v>
      </c>
      <c r="E24" s="90" t="str">
        <f>AB11</f>
        <v>Uruguay</v>
      </c>
      <c r="F24" s="89"/>
      <c r="G24" s="88"/>
      <c r="H24" s="87" t="str">
        <f>AB9</f>
        <v>Saudi Arabia</v>
      </c>
      <c r="J24" s="75" t="str">
        <f>VLOOKUP(4,AA20:AK23,2,FALSE)</f>
        <v>Australia</v>
      </c>
      <c r="K24" s="74">
        <f>L24+M24+N24</f>
        <v>0</v>
      </c>
      <c r="L24" s="74">
        <f>VLOOKUP(4,AA20:AK23,3,FALSE)</f>
        <v>0</v>
      </c>
      <c r="M24" s="74">
        <f>VLOOKUP(4,AA20:AK23,4,FALSE)</f>
        <v>0</v>
      </c>
      <c r="N24" s="74">
        <f>VLOOKUP(4,AA20:AK23,5,FALSE)</f>
        <v>0</v>
      </c>
      <c r="O24" s="74" t="str">
        <f>VLOOKUP(4,AA20:AK23,6,FALSE) &amp; " - " &amp; VLOOKUP(4,AA20:AK23,7,FALSE)</f>
        <v>0 - 0</v>
      </c>
      <c r="P24" s="73">
        <f>L24*3+M24</f>
        <v>0</v>
      </c>
      <c r="R24" s="55">
        <f>DATE(2018,6,20)+TIME(4,0,0)+gmt_delta</f>
        <v>43271.625</v>
      </c>
      <c r="S24" s="56" t="str">
        <f t="shared" si="3"/>
        <v/>
      </c>
      <c r="T24" s="56" t="str">
        <f t="shared" si="4"/>
        <v/>
      </c>
      <c r="U24" s="54">
        <f t="shared" si="5"/>
        <v>0</v>
      </c>
      <c r="V24" s="55">
        <f t="shared" si="6"/>
        <v>0</v>
      </c>
      <c r="W24" s="55">
        <f t="shared" si="7"/>
        <v>0</v>
      </c>
      <c r="X24" s="55">
        <f t="shared" si="8"/>
        <v>0</v>
      </c>
      <c r="Y24" s="55" t="str">
        <f t="shared" si="9"/>
        <v/>
      </c>
      <c r="AC24" s="55">
        <f>MAX(AC20:AC23)-MIN(AC20:AC23)+1</f>
        <v>1</v>
      </c>
      <c r="AD24" s="55">
        <f>MAX(AD20:AD23)-MIN(AD20:AD23)+1</f>
        <v>1</v>
      </c>
      <c r="AE24" s="55">
        <f>MAX(AE20:AE23)-MIN(AE20:AE23)+1</f>
        <v>1</v>
      </c>
      <c r="AF24" s="55">
        <f>MAX(AF20:AF23)-MIN(AF20:AF23)+1</f>
        <v>1</v>
      </c>
      <c r="AG24" s="55">
        <f>MAX(AG20:AG23)-MIN(AG20:AG23)+1</f>
        <v>1</v>
      </c>
      <c r="AH24" s="55">
        <f>MAX(AH20:AH23)-AH25+1</f>
        <v>1</v>
      </c>
      <c r="AI24" s="55">
        <f>MAX(AI20:AI23)-AI25+1</f>
        <v>1</v>
      </c>
      <c r="AK24" s="55">
        <f>MAX(AK20:AK23)-MIN(AK20:AK23)+1</f>
        <v>1</v>
      </c>
      <c r="AL24" s="55">
        <f>MAX(AL20:AL23)-MIN(AL20:AL23)+1</f>
        <v>1</v>
      </c>
      <c r="AP24" s="55">
        <f>MAX(AP20:AP23)-MIN(AP20:AP23)+1</f>
        <v>1</v>
      </c>
      <c r="AQ24" s="55">
        <f>MAX(AQ20:AQ23)-MIN(AQ20:AQ23)+1</f>
        <v>1</v>
      </c>
      <c r="AR24" s="55">
        <f>MAX(AR20:AR23)-MIN(AR20:AR23)+1</f>
        <v>1</v>
      </c>
      <c r="AS24" s="55">
        <f>MAX(AS20:AS23)-MIN(AS20:AS23)+1</f>
        <v>1</v>
      </c>
      <c r="AT24" s="55">
        <f>MAX(AT20:AT23)-MIN(AT20:AT23)+1</f>
        <v>1</v>
      </c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9"/>
      <c r="BP24" s="108"/>
      <c r="BQ24" s="303"/>
      <c r="BR24" s="103" t="str">
        <f>T77</f>
        <v>W62</v>
      </c>
      <c r="BS24" s="78"/>
      <c r="BT24" s="77"/>
    </row>
    <row r="25" spans="1:72" ht="15" customHeight="1" x14ac:dyDescent="0.25">
      <c r="A25" s="94">
        <v>19</v>
      </c>
      <c r="B25" s="93" t="str">
        <f t="shared" si="0"/>
        <v>Wed</v>
      </c>
      <c r="C25" s="92" t="str">
        <f t="shared" si="1"/>
        <v>Jun 20, 2018</v>
      </c>
      <c r="D25" s="91">
        <f t="shared" si="2"/>
        <v>0.5</v>
      </c>
      <c r="E25" s="90" t="str">
        <f>AB14</f>
        <v>Portugal</v>
      </c>
      <c r="F25" s="89"/>
      <c r="G25" s="88"/>
      <c r="H25" s="87" t="str">
        <f>AB16</f>
        <v>Morocco</v>
      </c>
      <c r="J25" s="115"/>
      <c r="K25" s="114"/>
      <c r="L25" s="114"/>
      <c r="M25" s="114"/>
      <c r="N25" s="114"/>
      <c r="O25" s="114"/>
      <c r="P25" s="114"/>
      <c r="R25" s="55">
        <f>DATE(2018,6,20)+TIME(1,0,0)+gmt_delta</f>
        <v>43271.5</v>
      </c>
      <c r="S25" s="56" t="str">
        <f t="shared" si="3"/>
        <v/>
      </c>
      <c r="T25" s="56" t="str">
        <f t="shared" si="4"/>
        <v/>
      </c>
      <c r="U25" s="54">
        <f t="shared" si="5"/>
        <v>0</v>
      </c>
      <c r="V25" s="55">
        <f t="shared" si="6"/>
        <v>0</v>
      </c>
      <c r="W25" s="55">
        <f t="shared" si="7"/>
        <v>0</v>
      </c>
      <c r="X25" s="55">
        <f t="shared" si="8"/>
        <v>0</v>
      </c>
      <c r="Y25" s="55" t="str">
        <f t="shared" si="9"/>
        <v/>
      </c>
      <c r="AH25" s="55">
        <f>MIN(AH20:AH23)</f>
        <v>0</v>
      </c>
      <c r="AI25" s="55">
        <f>MIN(AI20:AI23)</f>
        <v>0</v>
      </c>
      <c r="AY25" s="102" t="str">
        <f>INDEX(T,24+MONTH(R60),lang) &amp; " " &amp; DAY(R60) &amp; ", " &amp; YEAR(R60) &amp; "   " &amp; TEXT(TIME(HOUR(R60),MINUTE(R60),0),"hh:mm")</f>
        <v>Jul 1, 2018   14:00</v>
      </c>
      <c r="AZ25" s="102"/>
      <c r="BA25" s="102"/>
      <c r="BB25" s="113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9"/>
      <c r="BP25" s="102"/>
      <c r="BQ25" s="102"/>
      <c r="BR25" s="102"/>
      <c r="BS25" s="102"/>
      <c r="BT25" s="102"/>
    </row>
    <row r="26" spans="1:72" ht="15" customHeight="1" x14ac:dyDescent="0.25">
      <c r="A26" s="94">
        <v>20</v>
      </c>
      <c r="B26" s="93" t="str">
        <f t="shared" si="0"/>
        <v>Wed</v>
      </c>
      <c r="C26" s="92" t="str">
        <f t="shared" si="1"/>
        <v>Jun 20, 2018</v>
      </c>
      <c r="D26" s="91">
        <f t="shared" si="2"/>
        <v>0.75</v>
      </c>
      <c r="E26" s="90" t="str">
        <f>AB17</f>
        <v>Iran</v>
      </c>
      <c r="F26" s="89"/>
      <c r="G26" s="88"/>
      <c r="H26" s="87" t="str">
        <f>AB15</f>
        <v>Spain</v>
      </c>
      <c r="J26" s="100" t="str">
        <f>INDEX(T,9,lang) &amp; " " &amp; "D"</f>
        <v>Group D</v>
      </c>
      <c r="K26" s="99" t="str">
        <f>INDEX(T,10,lang)</f>
        <v>PL</v>
      </c>
      <c r="L26" s="99" t="str">
        <f>INDEX(T,11,lang)</f>
        <v>W</v>
      </c>
      <c r="M26" s="99" t="str">
        <f>INDEX(T,12,lang)</f>
        <v>DRAW</v>
      </c>
      <c r="N26" s="99" t="str">
        <f>INDEX(T,13,lang)</f>
        <v>L</v>
      </c>
      <c r="O26" s="99" t="str">
        <f>INDEX(T,14,lang)</f>
        <v>GF - GA</v>
      </c>
      <c r="P26" s="98" t="str">
        <f>INDEX(T,15,lang)</f>
        <v>PNT</v>
      </c>
      <c r="R26" s="55">
        <f>DATE(2018,6,20)+TIME(7,0,0)+gmt_delta</f>
        <v>43271.75</v>
      </c>
      <c r="S26" s="56" t="str">
        <f t="shared" si="3"/>
        <v/>
      </c>
      <c r="T26" s="56" t="str">
        <f t="shared" si="4"/>
        <v/>
      </c>
      <c r="U26" s="54">
        <f t="shared" si="5"/>
        <v>0</v>
      </c>
      <c r="V26" s="55">
        <f t="shared" si="6"/>
        <v>0</v>
      </c>
      <c r="W26" s="55">
        <f t="shared" si="7"/>
        <v>0</v>
      </c>
      <c r="X26" s="55">
        <f t="shared" si="8"/>
        <v>0</v>
      </c>
      <c r="Y26" s="55" t="str">
        <f t="shared" si="9"/>
        <v/>
      </c>
      <c r="AA26" s="55">
        <f>COUNTIF(AN26:AN29,CONCATENATE("&gt;=",AN26))</f>
        <v>1</v>
      </c>
      <c r="AB26" s="54" t="str">
        <f>VLOOKUP("Argentina",T,lang,FALSE)</f>
        <v>Argentina</v>
      </c>
      <c r="AC26" s="55">
        <f>COUNTIF($S$7:$T$54,"=" &amp; AB26 &amp; "_win")</f>
        <v>0</v>
      </c>
      <c r="AD26" s="55">
        <f>COUNTIF($S$7:$T$54,"=" &amp; AB26 &amp; "_draw")</f>
        <v>0</v>
      </c>
      <c r="AE26" s="55">
        <f>COUNTIF($S$7:$T$54,"=" &amp; AB26 &amp; "_lose")</f>
        <v>0</v>
      </c>
      <c r="AF26" s="55">
        <f>SUMIF($E$7:$E$54,$AB26,$F$7:$F$54) + SUMIF($H$7:$H$54,$AB26,$G$7:$G$54)</f>
        <v>0</v>
      </c>
      <c r="AG26" s="55">
        <f>SUMIF($E$7:$E$54,$AB26,$G$7:$G$54) + SUMIF($H$7:$H$54,$AB26,$F$7:$F$54)</f>
        <v>0</v>
      </c>
      <c r="AH26" s="55">
        <f>(AF26-AG26)*100+AK26*10000+AF26</f>
        <v>0</v>
      </c>
      <c r="AI26" s="55">
        <f>AF26-AG26</f>
        <v>0</v>
      </c>
      <c r="AJ26" s="55">
        <f>(AI26-AI31)/AI30</f>
        <v>0</v>
      </c>
      <c r="AK26" s="55">
        <f>AC26*3+AD26</f>
        <v>0</v>
      </c>
      <c r="AL26" s="55">
        <f>AP26/AP30*1000+AQ26/AQ30*100+AT26/AT30*10+AR26/AR30</f>
        <v>0</v>
      </c>
      <c r="AM26" s="55">
        <f>VLOOKUP(AB26,db_fifarank,2,FALSE)/2000000</f>
        <v>6.7400000000000001E-4</v>
      </c>
      <c r="AN26" s="54">
        <f>1000*AK26/AK30+100*AJ26+10*AF26/AF30+1*AL26/AL30+AM26</f>
        <v>6.7400000000000001E-4</v>
      </c>
      <c r="AO26" s="53" t="str">
        <f>IF(SUM(AC26:AE29)=12,J27,INDEX(T,76,lang))</f>
        <v>1D</v>
      </c>
      <c r="AP26" s="52">
        <f>SUMPRODUCT(($S$7:$S$54=AB26&amp;"_win")*($U$7:$U$54))+SUMPRODUCT(($T$7:$T$54=AB26&amp;"_win")*($U$7:$U$54))</f>
        <v>0</v>
      </c>
      <c r="AQ26" s="51">
        <f>SUMPRODUCT(($S$7:$S$54=AB26&amp;"_draw")*($U$7:$U$54))+SUMPRODUCT(($T$7:$T$54=AB26&amp;"_draw")*($U$7:$U$54))</f>
        <v>0</v>
      </c>
      <c r="AR26" s="51">
        <f>SUMPRODUCT(($E$7:$E$54=AB26)*($U$7:$U$54)*($F$7:$F$54))+SUMPRODUCT(($H$7:$H$54=AB26)*($U$7:$U$54)*($G$7:$G$54))</f>
        <v>0</v>
      </c>
      <c r="AS26" s="51">
        <f>SUMPRODUCT(($E$7:$E$54=AB26)*($U$7:$U$54)*($G$7:$G$54))+SUMPRODUCT(($H$7:$H$54=AB26)*($U$7:$U$54)*($F$7:$F$54))</f>
        <v>0</v>
      </c>
      <c r="AT26" s="51">
        <f>AR26-AS26</f>
        <v>0</v>
      </c>
      <c r="AY26" s="302">
        <v>51</v>
      </c>
      <c r="AZ26" s="107" t="str">
        <f>AO14</f>
        <v>1B</v>
      </c>
      <c r="BA26" s="106"/>
      <c r="BB26" s="105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9"/>
      <c r="BP26" s="102"/>
      <c r="BQ26" s="102"/>
      <c r="BR26" s="102"/>
      <c r="BS26" s="102"/>
      <c r="BT26" s="102"/>
    </row>
    <row r="27" spans="1:72" ht="15" customHeight="1" x14ac:dyDescent="0.25">
      <c r="A27" s="94">
        <v>21</v>
      </c>
      <c r="B27" s="93" t="str">
        <f t="shared" si="0"/>
        <v>Thu</v>
      </c>
      <c r="C27" s="92" t="str">
        <f t="shared" si="1"/>
        <v>Jun 21, 2018</v>
      </c>
      <c r="D27" s="91">
        <f t="shared" si="2"/>
        <v>0.625</v>
      </c>
      <c r="E27" s="90" t="str">
        <f>AB20</f>
        <v>France</v>
      </c>
      <c r="F27" s="89"/>
      <c r="G27" s="88"/>
      <c r="H27" s="87" t="str">
        <f>AB22</f>
        <v>Peru</v>
      </c>
      <c r="J27" s="97" t="str">
        <f>VLOOKUP(1,AA26:AK29,2,FALSE)</f>
        <v>Argentina</v>
      </c>
      <c r="K27" s="96">
        <f>L27+M27+N27</f>
        <v>0</v>
      </c>
      <c r="L27" s="96">
        <f>VLOOKUP(1,AA26:AK29,3,FALSE)</f>
        <v>0</v>
      </c>
      <c r="M27" s="96">
        <f>VLOOKUP(1,AA26:AK29,4,FALSE)</f>
        <v>0</v>
      </c>
      <c r="N27" s="96">
        <f>VLOOKUP(1,AA26:AK29,5,FALSE)</f>
        <v>0</v>
      </c>
      <c r="O27" s="96" t="str">
        <f>VLOOKUP(1,AA26:AK29,6,FALSE) &amp; " - " &amp; VLOOKUP(1,AA26:AK29,7,FALSE)</f>
        <v>0 - 0</v>
      </c>
      <c r="P27" s="95">
        <f>L27*3+M27</f>
        <v>0</v>
      </c>
      <c r="R27" s="55">
        <f>DATE(2018,6,21)+TIME(4,0,0)+gmt_delta</f>
        <v>43272.625</v>
      </c>
      <c r="S27" s="56" t="str">
        <f t="shared" si="3"/>
        <v/>
      </c>
      <c r="T27" s="56" t="str">
        <f t="shared" si="4"/>
        <v/>
      </c>
      <c r="U27" s="54">
        <f t="shared" si="5"/>
        <v>0</v>
      </c>
      <c r="V27" s="55">
        <f t="shared" si="6"/>
        <v>0</v>
      </c>
      <c r="W27" s="55">
        <f t="shared" si="7"/>
        <v>0</v>
      </c>
      <c r="X27" s="55">
        <f t="shared" si="8"/>
        <v>0</v>
      </c>
      <c r="Y27" s="55" t="str">
        <f t="shared" si="9"/>
        <v/>
      </c>
      <c r="AA27" s="55">
        <f>COUNTIF(AN26:AN29,CONCATENATE("&gt;=",AN27))</f>
        <v>3</v>
      </c>
      <c r="AB27" s="54" t="str">
        <f>VLOOKUP("Iceland",T,lang,FALSE)</f>
        <v>Iceland</v>
      </c>
      <c r="AC27" s="55">
        <f>COUNTIF($S$7:$T$54,"=" &amp; AB27 &amp; "_win")</f>
        <v>0</v>
      </c>
      <c r="AD27" s="55">
        <f>COUNTIF($S$7:$T$54,"=" &amp; AB27 &amp; "_draw")</f>
        <v>0</v>
      </c>
      <c r="AE27" s="55">
        <f>COUNTIF($S$7:$T$54,"=" &amp; AB27 &amp; "_lose")</f>
        <v>0</v>
      </c>
      <c r="AF27" s="55">
        <f>SUMIF($E$7:$E$54,$AB27,$F$7:$F$54) + SUMIF($H$7:$H$54,$AB27,$G$7:$G$54)</f>
        <v>0</v>
      </c>
      <c r="AG27" s="55">
        <f>SUMIF($E$7:$E$54,$AB27,$G$7:$G$54) + SUMIF($H$7:$H$54,$AB27,$F$7:$F$54)</f>
        <v>0</v>
      </c>
      <c r="AH27" s="55">
        <f>(AF27-AG27)*100+AK27*10000+AF27</f>
        <v>0</v>
      </c>
      <c r="AI27" s="55">
        <f>AF27-AG27</f>
        <v>0</v>
      </c>
      <c r="AJ27" s="55">
        <f>(AI27-AI31)/AI30</f>
        <v>0</v>
      </c>
      <c r="AK27" s="55">
        <f>AC27*3+AD27</f>
        <v>0</v>
      </c>
      <c r="AL27" s="55">
        <f>AP27/AP30*1000+AQ27/AQ30*100+AT27/AT30*10+AR27/AR30</f>
        <v>0</v>
      </c>
      <c r="AM27" s="55">
        <f>VLOOKUP(AB27,db_fifarank,2,FALSE)/2000000</f>
        <v>4.55E-4</v>
      </c>
      <c r="AN27" s="54">
        <f>1000*AK27/AK30+100*AJ27+10*AF27/AF30+1*AL27/AL30+AM27</f>
        <v>4.55E-4</v>
      </c>
      <c r="AO27" s="53" t="str">
        <f>IF(SUM(AC26:AE29)=12,J28,INDEX(T,77,lang))</f>
        <v>2D</v>
      </c>
      <c r="AP27" s="52">
        <f>SUMPRODUCT(($S$7:$S$54=AB27&amp;"_win")*($U$7:$U$54))+SUMPRODUCT(($T$7:$T$54=AB27&amp;"_win")*($U$7:$U$54))</f>
        <v>0</v>
      </c>
      <c r="AQ27" s="51">
        <f>SUMPRODUCT(($S$7:$S$54=AB27&amp;"_draw")*($U$7:$U$54))+SUMPRODUCT(($T$7:$T$54=AB27&amp;"_draw")*($U$7:$U$54))</f>
        <v>0</v>
      </c>
      <c r="AR27" s="51">
        <f>SUMPRODUCT(($E$7:$E$54=AB27)*($U$7:$U$54)*($F$7:$F$54))+SUMPRODUCT(($H$7:$H$54=AB27)*($U$7:$U$54)*($G$7:$G$54))</f>
        <v>0</v>
      </c>
      <c r="AS27" s="51">
        <f>SUMPRODUCT(($E$7:$E$54=AB27)*($U$7:$U$54)*($G$7:$G$54))+SUMPRODUCT(($H$7:$H$54=AB27)*($U$7:$U$54)*($F$7:$F$54))</f>
        <v>0</v>
      </c>
      <c r="AT27" s="51">
        <f>AR27-AS27</f>
        <v>0</v>
      </c>
      <c r="AY27" s="303"/>
      <c r="AZ27" s="103" t="str">
        <f>AO9</f>
        <v>2A</v>
      </c>
      <c r="BA27" s="78"/>
      <c r="BB27" s="77"/>
      <c r="BC27" s="111"/>
      <c r="BD27" s="102"/>
      <c r="BE27" s="102" t="str">
        <f>INDEX(T,24+MONTH(R71),lang) &amp; " " &amp; DAY(R71) &amp; ", " &amp; YEAR(R71) &amp; "   " &amp; TEXT(TIME(HOUR(R71),MINUTE(R71),0),"hh:mm")</f>
        <v>Jul 7, 2018   14:00</v>
      </c>
      <c r="BF27" s="102"/>
      <c r="BG27" s="102"/>
      <c r="BH27" s="110"/>
      <c r="BI27" s="102"/>
      <c r="BJ27" s="102"/>
      <c r="BK27" s="102"/>
      <c r="BL27" s="102"/>
      <c r="BM27" s="102"/>
      <c r="BN27" s="102"/>
      <c r="BO27" s="109"/>
      <c r="BP27" s="102"/>
      <c r="BQ27" s="102"/>
      <c r="BR27" s="102"/>
      <c r="BS27" s="102"/>
      <c r="BT27" s="102"/>
    </row>
    <row r="28" spans="1:72" ht="15" customHeight="1" x14ac:dyDescent="0.25">
      <c r="A28" s="94">
        <v>22</v>
      </c>
      <c r="B28" s="93" t="str">
        <f t="shared" si="0"/>
        <v>Thu</v>
      </c>
      <c r="C28" s="92" t="str">
        <f t="shared" si="1"/>
        <v>Jun 21, 2018</v>
      </c>
      <c r="D28" s="91">
        <f t="shared" si="2"/>
        <v>0.5</v>
      </c>
      <c r="E28" s="90" t="str">
        <f>AB23</f>
        <v>Denmark</v>
      </c>
      <c r="F28" s="89"/>
      <c r="G28" s="88"/>
      <c r="H28" s="87" t="str">
        <f>AB21</f>
        <v>Australia</v>
      </c>
      <c r="J28" s="86" t="str">
        <f>VLOOKUP(2,AA26:AK29,2,FALSE)</f>
        <v>Croatia</v>
      </c>
      <c r="K28" s="85">
        <f>L28+M28+N28</f>
        <v>0</v>
      </c>
      <c r="L28" s="85">
        <f>VLOOKUP(2,AA26:AK29,3,FALSE)</f>
        <v>0</v>
      </c>
      <c r="M28" s="85">
        <f>VLOOKUP(2,AA26:AK29,4,FALSE)</f>
        <v>0</v>
      </c>
      <c r="N28" s="85">
        <f>VLOOKUP(2,AA26:AK29,5,FALSE)</f>
        <v>0</v>
      </c>
      <c r="O28" s="85" t="str">
        <f>VLOOKUP(2,AA26:AK29,6,FALSE) &amp; " - " &amp; VLOOKUP(2,AA26:AK29,7,FALSE)</f>
        <v>0 - 0</v>
      </c>
      <c r="P28" s="84">
        <f>L28*3+M28</f>
        <v>0</v>
      </c>
      <c r="R28" s="55">
        <f>DATE(2018,6,21)+TIME(1,0,0)+gmt_delta</f>
        <v>43272.5</v>
      </c>
      <c r="S28" s="56" t="str">
        <f t="shared" si="3"/>
        <v/>
      </c>
      <c r="T28" s="56" t="str">
        <f t="shared" si="4"/>
        <v/>
      </c>
      <c r="U28" s="54">
        <f t="shared" si="5"/>
        <v>0</v>
      </c>
      <c r="V28" s="55">
        <f t="shared" si="6"/>
        <v>0</v>
      </c>
      <c r="W28" s="55">
        <f t="shared" si="7"/>
        <v>0</v>
      </c>
      <c r="X28" s="55">
        <f t="shared" si="8"/>
        <v>0</v>
      </c>
      <c r="Y28" s="55" t="str">
        <f t="shared" si="9"/>
        <v/>
      </c>
      <c r="AA28" s="55">
        <f>COUNTIF(AN26:AN29,CONCATENATE("&gt;=",AN28))</f>
        <v>2</v>
      </c>
      <c r="AB28" s="54" t="str">
        <f>VLOOKUP("Croatia",T,lang,FALSE)</f>
        <v>Croatia</v>
      </c>
      <c r="AC28" s="55">
        <f>COUNTIF($S$7:$T$54,"=" &amp; AB28 &amp; "_win")</f>
        <v>0</v>
      </c>
      <c r="AD28" s="55">
        <f>COUNTIF($S$7:$T$54,"=" &amp; AB28 &amp; "_draw")</f>
        <v>0</v>
      </c>
      <c r="AE28" s="55">
        <f>COUNTIF($S$7:$T$54,"=" &amp; AB28 &amp; "_lose")</f>
        <v>0</v>
      </c>
      <c r="AF28" s="55">
        <f>SUMIF($E$7:$E$54,$AB28,$F$7:$F$54) + SUMIF($H$7:$H$54,$AB28,$G$7:$G$54)</f>
        <v>0</v>
      </c>
      <c r="AG28" s="55">
        <f>SUMIF($E$7:$E$54,$AB28,$G$7:$G$54) + SUMIF($H$7:$H$54,$AB28,$F$7:$F$54)</f>
        <v>0</v>
      </c>
      <c r="AH28" s="55">
        <f>(AF28-AG28)*100+AK28*10000+AF28</f>
        <v>0</v>
      </c>
      <c r="AI28" s="55">
        <f>AF28-AG28</f>
        <v>0</v>
      </c>
      <c r="AJ28" s="55">
        <f>(AI28-AI31)/AI30</f>
        <v>0</v>
      </c>
      <c r="AK28" s="55">
        <f>AC28*3+AD28</f>
        <v>0</v>
      </c>
      <c r="AL28" s="55">
        <f>AP28/AP30*1000+AQ28/AQ30*100+AT28/AT30*10+AR28/AR30</f>
        <v>0</v>
      </c>
      <c r="AM28" s="55">
        <f>VLOOKUP(AB28,db_fifarank,2,FALSE)/2000000</f>
        <v>5.0900000000000001E-4</v>
      </c>
      <c r="AN28" s="54">
        <f>1000*AK28/AK30+100*AJ28+10*AF28/AF30+1*AL28/AL30+AM28</f>
        <v>5.0900000000000001E-4</v>
      </c>
      <c r="AP28" s="52">
        <f>SUMPRODUCT(($S$7:$S$54=AB28&amp;"_win")*($U$7:$U$54))+SUMPRODUCT(($T$7:$T$54=AB28&amp;"_win")*($U$7:$U$54))</f>
        <v>0</v>
      </c>
      <c r="AQ28" s="51">
        <f>SUMPRODUCT(($S$7:$S$54=AB28&amp;"_draw")*($U$7:$U$54))+SUMPRODUCT(($T$7:$T$54=AB28&amp;"_draw")*($U$7:$U$54))</f>
        <v>0</v>
      </c>
      <c r="AR28" s="51">
        <f>SUMPRODUCT(($E$7:$E$54=AB28)*($U$7:$U$54)*($F$7:$F$54))+SUMPRODUCT(($H$7:$H$54=AB28)*($U$7:$U$54)*($G$7:$G$54))</f>
        <v>0</v>
      </c>
      <c r="AS28" s="51">
        <f>SUMPRODUCT(($E$7:$E$54=AB28)*($U$7:$U$54)*($G$7:$G$54))+SUMPRODUCT(($H$7:$H$54=AB28)*($U$7:$U$54)*($F$7:$F$54))</f>
        <v>0</v>
      </c>
      <c r="AT28" s="51">
        <f>AR28-AS28</f>
        <v>0</v>
      </c>
      <c r="AY28" s="102"/>
      <c r="AZ28" s="102"/>
      <c r="BA28" s="102"/>
      <c r="BB28" s="102"/>
      <c r="BC28" s="109"/>
      <c r="BD28" s="102"/>
      <c r="BE28" s="302">
        <v>59</v>
      </c>
      <c r="BF28" s="107" t="str">
        <f>T60</f>
        <v>W51</v>
      </c>
      <c r="BG28" s="106"/>
      <c r="BH28" s="105"/>
      <c r="BI28" s="102"/>
      <c r="BJ28" s="102"/>
      <c r="BK28" s="102"/>
      <c r="BL28" s="102"/>
      <c r="BM28" s="102"/>
      <c r="BN28" s="102"/>
      <c r="BO28" s="109"/>
      <c r="BP28" s="102"/>
      <c r="BQ28" s="102"/>
      <c r="BR28" s="102"/>
      <c r="BS28" s="102"/>
      <c r="BT28" s="102"/>
    </row>
    <row r="29" spans="1:72" ht="15" customHeight="1" x14ac:dyDescent="0.25">
      <c r="A29" s="94">
        <v>23</v>
      </c>
      <c r="B29" s="93" t="str">
        <f t="shared" si="0"/>
        <v>Thu</v>
      </c>
      <c r="C29" s="92" t="str">
        <f t="shared" si="1"/>
        <v>Jun 21, 2018</v>
      </c>
      <c r="D29" s="91">
        <f t="shared" si="2"/>
        <v>0.75</v>
      </c>
      <c r="E29" s="90" t="str">
        <f>AB26</f>
        <v>Argentina</v>
      </c>
      <c r="F29" s="89"/>
      <c r="G29" s="88"/>
      <c r="H29" s="87" t="str">
        <f>AB28</f>
        <v>Croatia</v>
      </c>
      <c r="J29" s="86" t="str">
        <f>VLOOKUP(3,AA26:AK29,2,FALSE)</f>
        <v>Iceland</v>
      </c>
      <c r="K29" s="85">
        <f>L29+M29+N29</f>
        <v>0</v>
      </c>
      <c r="L29" s="85">
        <f>VLOOKUP(3,AA26:AK29,3,FALSE)</f>
        <v>0</v>
      </c>
      <c r="M29" s="85">
        <f>VLOOKUP(3,AA26:AK29,4,FALSE)</f>
        <v>0</v>
      </c>
      <c r="N29" s="85">
        <f>VLOOKUP(3,AA26:AK29,5,FALSE)</f>
        <v>0</v>
      </c>
      <c r="O29" s="85" t="str">
        <f>VLOOKUP(3,AA26:AK29,6,FALSE) &amp; " - " &amp; VLOOKUP(3,AA26:AK29,7,FALSE)</f>
        <v>0 - 0</v>
      </c>
      <c r="P29" s="84">
        <f>L29*3+M29</f>
        <v>0</v>
      </c>
      <c r="R29" s="55">
        <f>DATE(2018,6,21)+TIME(7,0,0)+gmt_delta</f>
        <v>43272.75</v>
      </c>
      <c r="S29" s="56" t="str">
        <f t="shared" si="3"/>
        <v/>
      </c>
      <c r="T29" s="56" t="str">
        <f t="shared" si="4"/>
        <v/>
      </c>
      <c r="U29" s="54">
        <f t="shared" si="5"/>
        <v>0</v>
      </c>
      <c r="V29" s="55">
        <f t="shared" si="6"/>
        <v>0</v>
      </c>
      <c r="W29" s="55">
        <f t="shared" si="7"/>
        <v>0</v>
      </c>
      <c r="X29" s="55">
        <f t="shared" si="8"/>
        <v>1</v>
      </c>
      <c r="Y29" s="55" t="str">
        <f t="shared" si="9"/>
        <v/>
      </c>
      <c r="AA29" s="55">
        <f>COUNTIF(AN26:AN29,CONCATENATE("&gt;=",AN29))</f>
        <v>4</v>
      </c>
      <c r="AB29" s="54" t="str">
        <f>VLOOKUP("Nigeria",T,lang,FALSE)</f>
        <v>Nigeria</v>
      </c>
      <c r="AC29" s="55">
        <f>COUNTIF($S$7:$T$54,"=" &amp; AB29 &amp; "_win")</f>
        <v>0</v>
      </c>
      <c r="AD29" s="55">
        <f>COUNTIF($S$7:$T$54,"=" &amp; AB29 &amp; "_draw")</f>
        <v>0</v>
      </c>
      <c r="AE29" s="55">
        <f>COUNTIF($S$7:$T$54,"=" &amp; AB29 &amp; "_lose")</f>
        <v>0</v>
      </c>
      <c r="AF29" s="55">
        <f>SUMIF($E$7:$E$54,$AB29,$F$7:$F$54) + SUMIF($H$7:$H$54,$AB29,$G$7:$G$54)</f>
        <v>0</v>
      </c>
      <c r="AG29" s="55">
        <f>SUMIF($E$7:$E$54,$AB29,$G$7:$G$54) + SUMIF($H$7:$H$54,$AB29,$F$7:$F$54)</f>
        <v>0</v>
      </c>
      <c r="AH29" s="55">
        <f>(AF29-AG29)*100+AK29*10000+AF29</f>
        <v>0</v>
      </c>
      <c r="AI29" s="55">
        <f>AF29-AG29</f>
        <v>0</v>
      </c>
      <c r="AJ29" s="55">
        <f>(AI29-AI31)/AI30</f>
        <v>0</v>
      </c>
      <c r="AK29" s="55">
        <f>AC29*3+AD29</f>
        <v>0</v>
      </c>
      <c r="AL29" s="55">
        <f>AP29/AP30*1000+AQ29/AQ30*100+AT29/AT30*10+AR29/AR30</f>
        <v>0</v>
      </c>
      <c r="AM29" s="55">
        <f>VLOOKUP(AB29,db_fifarank,2,FALSE)/2000000</f>
        <v>3.2000000000000003E-4</v>
      </c>
      <c r="AN29" s="54">
        <f>1000*AK29/AK30+100*AJ29+10*AF29/AF30+1*AL29/AL30+AM29</f>
        <v>3.2000000000000003E-4</v>
      </c>
      <c r="AP29" s="52">
        <f>SUMPRODUCT(($S$7:$S$54=AB29&amp;"_win")*($U$7:$U$54))+SUMPRODUCT(($T$7:$T$54=AB29&amp;"_win")*($U$7:$U$54))</f>
        <v>0</v>
      </c>
      <c r="AQ29" s="51">
        <f>SUMPRODUCT(($S$7:$S$54=AB29&amp;"_draw")*($U$7:$U$54))+SUMPRODUCT(($T$7:$T$54=AB29&amp;"_draw")*($U$7:$U$54))</f>
        <v>0</v>
      </c>
      <c r="AR29" s="51">
        <f>SUMPRODUCT(($E$7:$E$54=AB29)*($U$7:$U$54)*($F$7:$F$54))+SUMPRODUCT(($H$7:$H$54=AB29)*($U$7:$U$54)*($G$7:$G$54))</f>
        <v>0</v>
      </c>
      <c r="AS29" s="51">
        <f>SUMPRODUCT(($E$7:$E$54=AB29)*($U$7:$U$54)*($G$7:$G$54))+SUMPRODUCT(($H$7:$H$54=AB29)*($U$7:$U$54)*($F$7:$F$54))</f>
        <v>0</v>
      </c>
      <c r="AT29" s="51">
        <f>AR29-AS29</f>
        <v>0</v>
      </c>
      <c r="AY29" s="102" t="str">
        <f>INDEX(T,24+MONTH(R61),lang) &amp; " " &amp; DAY(R61) &amp; ", " &amp; YEAR(R61) &amp; "   " &amp; TEXT(TIME(HOUR(R61),MINUTE(R61),0),"hh:mm")</f>
        <v>Jul 1, 2018   18:00</v>
      </c>
      <c r="AZ29" s="102"/>
      <c r="BA29" s="102"/>
      <c r="BB29" s="110"/>
      <c r="BC29" s="109"/>
      <c r="BD29" s="108"/>
      <c r="BE29" s="303"/>
      <c r="BF29" s="103" t="str">
        <f>T61</f>
        <v>W52</v>
      </c>
      <c r="BG29" s="78"/>
      <c r="BH29" s="77"/>
      <c r="BI29" s="111"/>
      <c r="BJ29" s="102"/>
      <c r="BK29" s="102"/>
      <c r="BL29" s="102"/>
      <c r="BM29" s="102"/>
      <c r="BN29" s="102"/>
      <c r="BO29" s="109"/>
      <c r="BP29" s="102"/>
      <c r="BQ29" s="102"/>
      <c r="BR29" s="102"/>
      <c r="BS29" s="102"/>
      <c r="BT29" s="102"/>
    </row>
    <row r="30" spans="1:72" ht="15" customHeight="1" x14ac:dyDescent="0.25">
      <c r="A30" s="94">
        <v>24</v>
      </c>
      <c r="B30" s="93" t="str">
        <f t="shared" si="0"/>
        <v>Fri</v>
      </c>
      <c r="C30" s="92" t="str">
        <f t="shared" si="1"/>
        <v>Jun 22, 2018</v>
      </c>
      <c r="D30" s="91">
        <f t="shared" si="2"/>
        <v>0.625</v>
      </c>
      <c r="E30" s="90" t="str">
        <f>AB29</f>
        <v>Nigeria</v>
      </c>
      <c r="F30" s="89"/>
      <c r="G30" s="88"/>
      <c r="H30" s="87" t="str">
        <f>AB27</f>
        <v>Iceland</v>
      </c>
      <c r="J30" s="75" t="str">
        <f>VLOOKUP(4,AA26:AK29,2,FALSE)</f>
        <v>Nigeria</v>
      </c>
      <c r="K30" s="74">
        <f>L30+M30+N30</f>
        <v>0</v>
      </c>
      <c r="L30" s="74">
        <f>VLOOKUP(4,AA26:AK29,3,FALSE)</f>
        <v>0</v>
      </c>
      <c r="M30" s="74">
        <f>VLOOKUP(4,AA26:AK29,4,FALSE)</f>
        <v>0</v>
      </c>
      <c r="N30" s="74">
        <f>VLOOKUP(4,AA26:AK29,5,FALSE)</f>
        <v>0</v>
      </c>
      <c r="O30" s="74" t="str">
        <f>VLOOKUP(4,AA26:AK29,6,FALSE) &amp; " - " &amp; VLOOKUP(4,AA26:AK29,7,FALSE)</f>
        <v>0 - 0</v>
      </c>
      <c r="P30" s="73">
        <f>L30*3+M30</f>
        <v>0</v>
      </c>
      <c r="R30" s="55">
        <f>DATE(2018,6,22)+TIME(4,0,0)+gmt_delta</f>
        <v>43273.625</v>
      </c>
      <c r="S30" s="56" t="str">
        <f t="shared" si="3"/>
        <v/>
      </c>
      <c r="T30" s="56" t="str">
        <f t="shared" si="4"/>
        <v/>
      </c>
      <c r="U30" s="54">
        <f t="shared" si="5"/>
        <v>0</v>
      </c>
      <c r="V30" s="55">
        <f t="shared" si="6"/>
        <v>0</v>
      </c>
      <c r="W30" s="55">
        <f t="shared" si="7"/>
        <v>0</v>
      </c>
      <c r="X30" s="55">
        <f t="shared" si="8"/>
        <v>0</v>
      </c>
      <c r="Y30" s="55" t="str">
        <f t="shared" si="9"/>
        <v/>
      </c>
      <c r="AC30" s="55">
        <f>MAX(AC26:AC29)-MIN(AC26:AC29)+1</f>
        <v>1</v>
      </c>
      <c r="AD30" s="55">
        <f>MAX(AD26:AD29)-MIN(AD26:AD29)+1</f>
        <v>1</v>
      </c>
      <c r="AE30" s="55">
        <f>MAX(AE26:AE29)-MIN(AE26:AE29)+1</f>
        <v>1</v>
      </c>
      <c r="AF30" s="55">
        <f>MAX(AF26:AF29)-MIN(AF26:AF29)+1</f>
        <v>1</v>
      </c>
      <c r="AG30" s="55">
        <f>MAX(AG26:AG29)-MIN(AG26:AG29)+1</f>
        <v>1</v>
      </c>
      <c r="AH30" s="55">
        <f>MAX(AH26:AH29)-AH31+1</f>
        <v>1</v>
      </c>
      <c r="AI30" s="55">
        <f>MAX(AI26:AI29)-AI31+1</f>
        <v>1</v>
      </c>
      <c r="AK30" s="55">
        <f>MAX(AK26:AK29)-MIN(AK26:AK29)+1</f>
        <v>1</v>
      </c>
      <c r="AL30" s="55">
        <f>MAX(AL26:AL29)-MIN(AL26:AL29)+1</f>
        <v>1</v>
      </c>
      <c r="AP30" s="55">
        <f>MAX(AP26:AP29)-MIN(AP26:AP29)+1</f>
        <v>1</v>
      </c>
      <c r="AQ30" s="55">
        <f>MAX(AQ26:AQ29)-MIN(AQ26:AQ29)+1</f>
        <v>1</v>
      </c>
      <c r="AR30" s="55">
        <f>MAX(AR26:AR29)-MIN(AR26:AR29)+1</f>
        <v>1</v>
      </c>
      <c r="AS30" s="55">
        <f>MAX(AS26:AS29)-MIN(AS26:AS29)+1</f>
        <v>1</v>
      </c>
      <c r="AT30" s="55">
        <f>MAX(AT26:AT29)-MIN(AT26:AT29)+1</f>
        <v>1</v>
      </c>
      <c r="AY30" s="302">
        <v>52</v>
      </c>
      <c r="AZ30" s="107" t="str">
        <f>AO26</f>
        <v>1D</v>
      </c>
      <c r="BA30" s="106"/>
      <c r="BB30" s="105"/>
      <c r="BC30" s="104"/>
      <c r="BD30" s="102"/>
      <c r="BE30" s="102"/>
      <c r="BF30" s="102"/>
      <c r="BG30" s="102"/>
      <c r="BH30" s="102"/>
      <c r="BI30" s="109"/>
      <c r="BJ30" s="102"/>
      <c r="BK30" s="102"/>
      <c r="BL30" s="102"/>
      <c r="BM30" s="102"/>
      <c r="BN30" s="102"/>
      <c r="BO30" s="109"/>
      <c r="BP30" s="102"/>
      <c r="BQ30" s="102"/>
      <c r="BR30" s="102"/>
      <c r="BS30" s="102"/>
      <c r="BT30" s="102"/>
    </row>
    <row r="31" spans="1:72" ht="15" customHeight="1" x14ac:dyDescent="0.25">
      <c r="A31" s="94">
        <v>25</v>
      </c>
      <c r="B31" s="93" t="str">
        <f t="shared" si="0"/>
        <v>Fri</v>
      </c>
      <c r="C31" s="92" t="str">
        <f t="shared" si="1"/>
        <v>Jun 22, 2018</v>
      </c>
      <c r="D31" s="91">
        <f t="shared" si="2"/>
        <v>0.5</v>
      </c>
      <c r="E31" s="90" t="str">
        <f>AB32</f>
        <v>Brazil</v>
      </c>
      <c r="F31" s="89"/>
      <c r="G31" s="88"/>
      <c r="H31" s="87" t="str">
        <f>AB34</f>
        <v>Costa Rica</v>
      </c>
      <c r="R31" s="55">
        <f>DATE(2018,6,22)+TIME(1,0,0)+gmt_delta</f>
        <v>43273.5</v>
      </c>
      <c r="S31" s="56" t="str">
        <f t="shared" si="3"/>
        <v/>
      </c>
      <c r="T31" s="56" t="str">
        <f t="shared" si="4"/>
        <v/>
      </c>
      <c r="U31" s="54">
        <f t="shared" si="5"/>
        <v>0</v>
      </c>
      <c r="V31" s="55">
        <f t="shared" si="6"/>
        <v>0</v>
      </c>
      <c r="W31" s="55">
        <f t="shared" si="7"/>
        <v>0</v>
      </c>
      <c r="X31" s="55">
        <f t="shared" si="8"/>
        <v>0</v>
      </c>
      <c r="Y31" s="55" t="str">
        <f t="shared" si="9"/>
        <v/>
      </c>
      <c r="AH31" s="55">
        <f>MIN(AH26:AH29)</f>
        <v>0</v>
      </c>
      <c r="AI31" s="55">
        <f>MIN(AI26:AI29)</f>
        <v>0</v>
      </c>
      <c r="AY31" s="303"/>
      <c r="AZ31" s="103" t="str">
        <f>AO21</f>
        <v>2C</v>
      </c>
      <c r="BA31" s="78"/>
      <c r="BB31" s="77"/>
      <c r="BC31" s="102"/>
      <c r="BD31" s="102"/>
      <c r="BE31" s="102"/>
      <c r="BF31" s="102"/>
      <c r="BG31" s="102"/>
      <c r="BH31" s="102"/>
      <c r="BI31" s="109"/>
      <c r="BJ31" s="102"/>
      <c r="BK31" s="102" t="str">
        <f>INDEX(T,24+MONTH(R77),lang) &amp; " " &amp; DAY(R77) &amp; ", " &amp; YEAR(R77) &amp; "   " &amp; TEXT(TIME(HOUR(R77),MINUTE(R77),0),"hh:mm")</f>
        <v>Jul 11, 2018   18:00</v>
      </c>
      <c r="BL31" s="102"/>
      <c r="BM31" s="102"/>
      <c r="BN31" s="110"/>
      <c r="BO31" s="109"/>
      <c r="BP31" s="112"/>
      <c r="BQ31" s="317" t="str">
        <f>INDEX(T,7,lang)</f>
        <v>Third-Place Play-Off</v>
      </c>
      <c r="BR31" s="318"/>
      <c r="BS31" s="318"/>
      <c r="BT31" s="319"/>
    </row>
    <row r="32" spans="1:72" ht="15" customHeight="1" x14ac:dyDescent="0.25">
      <c r="A32" s="94">
        <v>26</v>
      </c>
      <c r="B32" s="93" t="str">
        <f t="shared" si="0"/>
        <v>Fri</v>
      </c>
      <c r="C32" s="92" t="str">
        <f t="shared" si="1"/>
        <v>Jun 22, 2018</v>
      </c>
      <c r="D32" s="91">
        <f t="shared" si="2"/>
        <v>0.75</v>
      </c>
      <c r="E32" s="90" t="str">
        <f>AB35</f>
        <v>Serbia</v>
      </c>
      <c r="F32" s="89"/>
      <c r="G32" s="88"/>
      <c r="H32" s="87" t="str">
        <f>AB33</f>
        <v>Switzerland</v>
      </c>
      <c r="J32" s="100" t="str">
        <f>INDEX(T,9,lang) &amp; " " &amp; "E"</f>
        <v>Group E</v>
      </c>
      <c r="K32" s="99" t="str">
        <f>INDEX(T,10,lang)</f>
        <v>PL</v>
      </c>
      <c r="L32" s="99" t="str">
        <f>INDEX(T,11,lang)</f>
        <v>W</v>
      </c>
      <c r="M32" s="99" t="str">
        <f>INDEX(T,12,lang)</f>
        <v>DRAW</v>
      </c>
      <c r="N32" s="99" t="str">
        <f>INDEX(T,13,lang)</f>
        <v>L</v>
      </c>
      <c r="O32" s="99" t="str">
        <f>INDEX(T,14,lang)</f>
        <v>GF - GA</v>
      </c>
      <c r="P32" s="98" t="str">
        <f>INDEX(T,15,lang)</f>
        <v>PNT</v>
      </c>
      <c r="R32" s="55">
        <f>DATE(2018,6,22)+TIME(7,0,0)+gmt_delta</f>
        <v>43273.75</v>
      </c>
      <c r="S32" s="56" t="str">
        <f t="shared" si="3"/>
        <v/>
      </c>
      <c r="T32" s="56" t="str">
        <f t="shared" si="4"/>
        <v/>
      </c>
      <c r="U32" s="54">
        <f t="shared" si="5"/>
        <v>0</v>
      </c>
      <c r="V32" s="55">
        <f t="shared" si="6"/>
        <v>0</v>
      </c>
      <c r="W32" s="55">
        <f t="shared" si="7"/>
        <v>0</v>
      </c>
      <c r="X32" s="55">
        <f t="shared" si="8"/>
        <v>0</v>
      </c>
      <c r="Y32" s="55" t="str">
        <f t="shared" si="9"/>
        <v/>
      </c>
      <c r="AA32" s="55">
        <f>COUNTIF(AN32:AN35,CONCATENATE("&gt;=",AN32))</f>
        <v>1</v>
      </c>
      <c r="AB32" s="54" t="str">
        <f>VLOOKUP("Brazil",T,lang,FALSE)</f>
        <v>Brazil</v>
      </c>
      <c r="AC32" s="55">
        <f>COUNTIF($S$7:$T$54,"=" &amp; AB32 &amp; "_win")</f>
        <v>0</v>
      </c>
      <c r="AD32" s="55">
        <f>COUNTIF($S$7:$T$54,"=" &amp; AB32 &amp; "_draw")</f>
        <v>0</v>
      </c>
      <c r="AE32" s="55">
        <f>COUNTIF($S$7:$T$54,"=" &amp; AB32 &amp; "_lose")</f>
        <v>0</v>
      </c>
      <c r="AF32" s="55">
        <f>SUMIF($E$7:$E$54,$AB32,$F$7:$F$54) + SUMIF($H$7:$H$54,$AB32,$G$7:$G$54)</f>
        <v>0</v>
      </c>
      <c r="AG32" s="55">
        <f>SUMIF($E$7:$E$54,$AB32,$G$7:$G$54) + SUMIF($H$7:$H$54,$AB32,$F$7:$F$54)</f>
        <v>0</v>
      </c>
      <c r="AH32" s="55">
        <f>(AF32-AG32)*100+AK32*10000+AF32</f>
        <v>0</v>
      </c>
      <c r="AI32" s="55">
        <f>AF32-AG32</f>
        <v>0</v>
      </c>
      <c r="AJ32" s="55">
        <f>(AI32-AI37)/AI36</f>
        <v>0</v>
      </c>
      <c r="AK32" s="55">
        <f>AC32*3+AD32</f>
        <v>0</v>
      </c>
      <c r="AL32" s="55">
        <f>AP32/AP36*1000+AQ32/AQ36*100+AT32/AT36*10+AR32/AR36</f>
        <v>0</v>
      </c>
      <c r="AM32" s="55">
        <f>VLOOKUP(AB32,db_fifarank,2,FALSE)/2000000</f>
        <v>7.4149999999999997E-4</v>
      </c>
      <c r="AN32" s="54">
        <f>1000*AK32/AK36+100*AJ32+10*AF32/AF36+1*AL32/AL36+AM32</f>
        <v>7.4149999999999997E-4</v>
      </c>
      <c r="AO32" s="53" t="str">
        <f>IF(SUM(AC32:AE35)=12,J33,INDEX(T,78,lang))</f>
        <v>1E</v>
      </c>
      <c r="AP32" s="52">
        <f>SUMPRODUCT(($S$7:$S$54=AB32&amp;"_win")*($U$7:$U$54))+SUMPRODUCT(($T$7:$T$54=AB32&amp;"_win")*($U$7:$U$54))</f>
        <v>0</v>
      </c>
      <c r="AQ32" s="51">
        <f>SUMPRODUCT(($S$7:$S$54=AB32&amp;"_draw")*($U$7:$U$54))+SUMPRODUCT(($T$7:$T$54=AB32&amp;"_draw")*($U$7:$U$54))</f>
        <v>0</v>
      </c>
      <c r="AR32" s="51">
        <f>SUMPRODUCT(($E$7:$E$54=AB32)*($U$7:$U$54)*($F$7:$F$54))+SUMPRODUCT(($H$7:$H$54=AB32)*($U$7:$U$54)*($G$7:$G$54))</f>
        <v>0</v>
      </c>
      <c r="AS32" s="51">
        <f>SUMPRODUCT(($E$7:$E$54=AB32)*($U$7:$U$54)*($G$7:$G$54))+SUMPRODUCT(($H$7:$H$54=AB32)*($U$7:$U$54)*($F$7:$F$54))</f>
        <v>0</v>
      </c>
      <c r="AT32" s="51">
        <f>AR32-AS32</f>
        <v>0</v>
      </c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9"/>
      <c r="BJ32" s="102"/>
      <c r="BK32" s="302">
        <v>62</v>
      </c>
      <c r="BL32" s="107" t="str">
        <f>T71</f>
        <v>W59</v>
      </c>
      <c r="BM32" s="106"/>
      <c r="BN32" s="105"/>
      <c r="BO32" s="104"/>
      <c r="BP32" s="112"/>
      <c r="BQ32" s="320"/>
      <c r="BR32" s="321"/>
      <c r="BS32" s="321"/>
      <c r="BT32" s="322"/>
    </row>
    <row r="33" spans="1:72" ht="15" customHeight="1" x14ac:dyDescent="0.25">
      <c r="A33" s="94">
        <v>27</v>
      </c>
      <c r="B33" s="93" t="str">
        <f t="shared" si="0"/>
        <v>Sat</v>
      </c>
      <c r="C33" s="92" t="str">
        <f t="shared" si="1"/>
        <v>Jun 23, 2018</v>
      </c>
      <c r="D33" s="91">
        <f t="shared" si="2"/>
        <v>0.75</v>
      </c>
      <c r="E33" s="90" t="str">
        <f>AB38</f>
        <v>Germany</v>
      </c>
      <c r="F33" s="89"/>
      <c r="G33" s="88"/>
      <c r="H33" s="87" t="str">
        <f>AB40</f>
        <v>Sweden</v>
      </c>
      <c r="J33" s="97" t="str">
        <f>VLOOKUP(1,AA32:AK35,2,FALSE)</f>
        <v>Brazil</v>
      </c>
      <c r="K33" s="96">
        <f>L33+M33+N33</f>
        <v>0</v>
      </c>
      <c r="L33" s="96">
        <f>VLOOKUP(1,AA32:AK35,3,FALSE)</f>
        <v>0</v>
      </c>
      <c r="M33" s="96">
        <f>VLOOKUP(1,AA32:AK35,4,FALSE)</f>
        <v>0</v>
      </c>
      <c r="N33" s="96">
        <f>VLOOKUP(1,AA32:AK35,5,FALSE)</f>
        <v>0</v>
      </c>
      <c r="O33" s="96" t="str">
        <f>VLOOKUP(1,AA32:AK35,6,FALSE) &amp; " - " &amp; VLOOKUP(1,AA32:AK35,7,FALSE)</f>
        <v>0 - 0</v>
      </c>
      <c r="P33" s="95">
        <f>L33*3+M33</f>
        <v>0</v>
      </c>
      <c r="R33" s="55">
        <f>DATE(2018,6,23)+TIME(7,0,0)+gmt_delta</f>
        <v>43274.75</v>
      </c>
      <c r="S33" s="56" t="str">
        <f t="shared" si="3"/>
        <v/>
      </c>
      <c r="T33" s="56" t="str">
        <f t="shared" si="4"/>
        <v/>
      </c>
      <c r="U33" s="54">
        <f t="shared" si="5"/>
        <v>0</v>
      </c>
      <c r="V33" s="55">
        <f t="shared" si="6"/>
        <v>0</v>
      </c>
      <c r="W33" s="55">
        <f t="shared" si="7"/>
        <v>0</v>
      </c>
      <c r="X33" s="55">
        <f t="shared" si="8"/>
        <v>0</v>
      </c>
      <c r="Y33" s="55" t="str">
        <f t="shared" si="9"/>
        <v/>
      </c>
      <c r="AA33" s="55">
        <f>COUNTIF(AN32:AN35,CONCATENATE("&gt;=",AN33))</f>
        <v>2</v>
      </c>
      <c r="AB33" s="54" t="str">
        <f>VLOOKUP("Switzerland",T,lang,FALSE)</f>
        <v>Switzerland</v>
      </c>
      <c r="AC33" s="55">
        <f>COUNTIF($S$7:$T$54,"=" &amp; AB33 &amp; "_win")</f>
        <v>0</v>
      </c>
      <c r="AD33" s="55">
        <f>COUNTIF($S$7:$T$54,"=" &amp; AB33 &amp; "_draw")</f>
        <v>0</v>
      </c>
      <c r="AE33" s="55">
        <f>COUNTIF($S$7:$T$54,"=" &amp; AB33 &amp; "_lose")</f>
        <v>0</v>
      </c>
      <c r="AF33" s="55">
        <f>SUMIF($E$7:$E$54,$AB33,$F$7:$F$54) + SUMIF($H$7:$H$54,$AB33,$G$7:$G$54)</f>
        <v>0</v>
      </c>
      <c r="AG33" s="55">
        <f>SUMIF($E$7:$E$54,$AB33,$G$7:$G$54) + SUMIF($H$7:$H$54,$AB33,$F$7:$F$54)</f>
        <v>0</v>
      </c>
      <c r="AH33" s="55">
        <f>(AF33-AG33)*100+AK33*10000+AF33</f>
        <v>0</v>
      </c>
      <c r="AI33" s="55">
        <f>AF33-AG33</f>
        <v>0</v>
      </c>
      <c r="AJ33" s="55">
        <f>(AI33-AI37)/AI36</f>
        <v>0</v>
      </c>
      <c r="AK33" s="55">
        <f>AC33*3+AD33</f>
        <v>0</v>
      </c>
      <c r="AL33" s="55">
        <f>AP33/AP36*1000+AQ33/AQ36*100+AT33/AT36*10+AR33/AR36</f>
        <v>0</v>
      </c>
      <c r="AM33" s="55">
        <f>VLOOKUP(AB33,db_fifarank,2,FALSE)/2000000</f>
        <v>5.9500000000000004E-4</v>
      </c>
      <c r="AN33" s="54">
        <f>1000*AK33/AK36+100*AJ33+10*AF33/AF36+1*AL33/AL36+AM33</f>
        <v>5.9500000000000004E-4</v>
      </c>
      <c r="AO33" s="53" t="str">
        <f>IF(SUM(AC32:AE35)=12,J34,INDEX(T,79,lang))</f>
        <v>2E</v>
      </c>
      <c r="AP33" s="52">
        <f>SUMPRODUCT(($S$7:$S$54=AB33&amp;"_win")*($U$7:$U$54))+SUMPRODUCT(($T$7:$T$54=AB33&amp;"_win")*($U$7:$U$54))</f>
        <v>0</v>
      </c>
      <c r="AQ33" s="51">
        <f>SUMPRODUCT(($S$7:$S$54=AB33&amp;"_draw")*($U$7:$U$54))+SUMPRODUCT(($T$7:$T$54=AB33&amp;"_draw")*($U$7:$U$54))</f>
        <v>0</v>
      </c>
      <c r="AR33" s="51">
        <f>SUMPRODUCT(($E$7:$E$54=AB33)*($U$7:$U$54)*($F$7:$F$54))+SUMPRODUCT(($H$7:$H$54=AB33)*($U$7:$U$54)*($G$7:$G$54))</f>
        <v>0</v>
      </c>
      <c r="AS33" s="51">
        <f>SUMPRODUCT(($E$7:$E$54=AB33)*($U$7:$U$54)*($G$7:$G$54))+SUMPRODUCT(($H$7:$H$54=AB33)*($U$7:$U$54)*($F$7:$F$54))</f>
        <v>0</v>
      </c>
      <c r="AT33" s="51">
        <f>AR33-AS33</f>
        <v>0</v>
      </c>
      <c r="AY33" s="102" t="str">
        <f>INDEX(T,24+MONTH(R64),lang) &amp; " " &amp; DAY(R64) &amp; ", " &amp; YEAR(R64) &amp; "   " &amp; TEXT(TIME(HOUR(R64),MINUTE(R64),0),"hh:mm")</f>
        <v>Jul 3, 2018   14:00</v>
      </c>
      <c r="AZ33" s="102"/>
      <c r="BA33" s="102"/>
      <c r="BB33" s="110"/>
      <c r="BC33" s="102"/>
      <c r="BD33" s="102"/>
      <c r="BE33" s="102"/>
      <c r="BF33" s="102"/>
      <c r="BG33" s="102"/>
      <c r="BH33" s="102"/>
      <c r="BI33" s="109"/>
      <c r="BJ33" s="108"/>
      <c r="BK33" s="303"/>
      <c r="BL33" s="103" t="str">
        <f>T72</f>
        <v>W60</v>
      </c>
      <c r="BM33" s="78"/>
      <c r="BN33" s="77"/>
      <c r="BO33" s="112"/>
      <c r="BP33" s="112"/>
      <c r="BQ33" s="102"/>
      <c r="BR33" s="102"/>
      <c r="BS33" s="102"/>
      <c r="BT33" s="102"/>
    </row>
    <row r="34" spans="1:72" ht="15" customHeight="1" x14ac:dyDescent="0.25">
      <c r="A34" s="94">
        <v>28</v>
      </c>
      <c r="B34" s="93" t="str">
        <f t="shared" si="0"/>
        <v>Sat</v>
      </c>
      <c r="C34" s="92" t="str">
        <f t="shared" si="1"/>
        <v>Jun 23, 2018</v>
      </c>
      <c r="D34" s="91">
        <f t="shared" si="2"/>
        <v>0.625</v>
      </c>
      <c r="E34" s="90" t="str">
        <f>AB41</f>
        <v>Korea Republic</v>
      </c>
      <c r="F34" s="89"/>
      <c r="G34" s="88"/>
      <c r="H34" s="87" t="str">
        <f>AB39</f>
        <v>Mexico</v>
      </c>
      <c r="J34" s="86" t="str">
        <f>VLOOKUP(2,AA32:AK35,2,FALSE)</f>
        <v>Switzerland</v>
      </c>
      <c r="K34" s="85">
        <f>L34+M34+N34</f>
        <v>0</v>
      </c>
      <c r="L34" s="85">
        <f>VLOOKUP(2,AA32:AK35,3,FALSE)</f>
        <v>0</v>
      </c>
      <c r="M34" s="85">
        <f>VLOOKUP(2,AA32:AK35,4,FALSE)</f>
        <v>0</v>
      </c>
      <c r="N34" s="85">
        <f>VLOOKUP(2,AA32:AK35,5,FALSE)</f>
        <v>0</v>
      </c>
      <c r="O34" s="85" t="str">
        <f>VLOOKUP(2,AA32:AK35,6,FALSE) &amp; " - " &amp; VLOOKUP(2,AA32:AK35,7,FALSE)</f>
        <v>0 - 0</v>
      </c>
      <c r="P34" s="84">
        <f>L34*3+M34</f>
        <v>0</v>
      </c>
      <c r="R34" s="55">
        <f>DATE(2018,6,23)+TIME(4,0,0)+gmt_delta</f>
        <v>43274.625</v>
      </c>
      <c r="S34" s="56" t="str">
        <f t="shared" si="3"/>
        <v/>
      </c>
      <c r="T34" s="56" t="str">
        <f t="shared" si="4"/>
        <v/>
      </c>
      <c r="U34" s="54">
        <f t="shared" si="5"/>
        <v>0</v>
      </c>
      <c r="V34" s="55">
        <f t="shared" si="6"/>
        <v>0</v>
      </c>
      <c r="W34" s="55">
        <f t="shared" si="7"/>
        <v>0</v>
      </c>
      <c r="X34" s="55">
        <f t="shared" si="8"/>
        <v>0</v>
      </c>
      <c r="Y34" s="55" t="str">
        <f t="shared" si="9"/>
        <v/>
      </c>
      <c r="AA34" s="55">
        <f>COUNTIF(AN32:AN35,CONCATENATE("&gt;=",AN34))</f>
        <v>3</v>
      </c>
      <c r="AB34" s="54" t="str">
        <f>VLOOKUP("Costa Rica",T,lang,FALSE)</f>
        <v>Costa Rica</v>
      </c>
      <c r="AC34" s="55">
        <f>COUNTIF($S$7:$T$54,"=" &amp; AB34 &amp; "_win")</f>
        <v>0</v>
      </c>
      <c r="AD34" s="55">
        <f>COUNTIF($S$7:$T$54,"=" &amp; AB34 &amp; "_draw")</f>
        <v>0</v>
      </c>
      <c r="AE34" s="55">
        <f>COUNTIF($S$7:$T$54,"=" &amp; AB34 &amp; "_lose")</f>
        <v>0</v>
      </c>
      <c r="AF34" s="55">
        <f>SUMIF($E$7:$E$54,$AB34,$F$7:$F$54) + SUMIF($H$7:$H$54,$AB34,$G$7:$G$54)</f>
        <v>0</v>
      </c>
      <c r="AG34" s="55">
        <f>SUMIF($E$7:$E$54,$AB34,$G$7:$G$54) + SUMIF($H$7:$H$54,$AB34,$F$7:$F$54)</f>
        <v>0</v>
      </c>
      <c r="AH34" s="55">
        <f>(AF34-AG34)*100+AK34*10000+AF34</f>
        <v>0</v>
      </c>
      <c r="AI34" s="55">
        <f>AF34-AG34</f>
        <v>0</v>
      </c>
      <c r="AJ34" s="55">
        <f>(AI34-AI37)/AI36</f>
        <v>0</v>
      </c>
      <c r="AK34" s="55">
        <f>AC34*3+AD34</f>
        <v>0</v>
      </c>
      <c r="AL34" s="55">
        <f>AP34/AP36*1000+AQ34/AQ36*100+AT34/AT36*10+AR34/AR36</f>
        <v>0</v>
      </c>
      <c r="AM34" s="55">
        <f>VLOOKUP(AB34,db_fifarank,2,FALSE)/2000000</f>
        <v>4.2499999999999998E-4</v>
      </c>
      <c r="AN34" s="54">
        <f>1000*AK34/AK36+100*AJ34+10*AF34/AF36+1*AL34/AL36+AM34</f>
        <v>4.2499999999999998E-4</v>
      </c>
      <c r="AP34" s="52">
        <f>SUMPRODUCT(($S$7:$S$54=AB34&amp;"_win")*($U$7:$U$54))+SUMPRODUCT(($T$7:$T$54=AB34&amp;"_win")*($U$7:$U$54))</f>
        <v>0</v>
      </c>
      <c r="AQ34" s="51">
        <f>SUMPRODUCT(($S$7:$S$54=AB34&amp;"_draw")*($U$7:$U$54))+SUMPRODUCT(($T$7:$T$54=AB34&amp;"_draw")*($U$7:$U$54))</f>
        <v>0</v>
      </c>
      <c r="AR34" s="51">
        <f>SUMPRODUCT(($E$7:$E$54=AB34)*($U$7:$U$54)*($F$7:$F$54))+SUMPRODUCT(($H$7:$H$54=AB34)*($U$7:$U$54)*($G$7:$G$54))</f>
        <v>0</v>
      </c>
      <c r="AS34" s="51">
        <f>SUMPRODUCT(($E$7:$E$54=AB34)*($U$7:$U$54)*($G$7:$G$54))+SUMPRODUCT(($H$7:$H$54=AB34)*($U$7:$U$54)*($F$7:$F$54))</f>
        <v>0</v>
      </c>
      <c r="AT34" s="51">
        <f>AR34-AS34</f>
        <v>0</v>
      </c>
      <c r="AY34" s="302">
        <v>55</v>
      </c>
      <c r="AZ34" s="107" t="str">
        <f>AO38</f>
        <v>1F</v>
      </c>
      <c r="BA34" s="106"/>
      <c r="BB34" s="105"/>
      <c r="BC34" s="102"/>
      <c r="BD34" s="102"/>
      <c r="BE34" s="102"/>
      <c r="BF34" s="102"/>
      <c r="BG34" s="102"/>
      <c r="BH34" s="102"/>
      <c r="BI34" s="109"/>
      <c r="BJ34" s="102"/>
      <c r="BK34" s="102"/>
      <c r="BL34" s="102"/>
      <c r="BM34" s="102"/>
      <c r="BN34" s="102"/>
      <c r="BO34" s="102"/>
      <c r="BP34" s="102"/>
      <c r="BQ34" s="102" t="str">
        <f>INDEX(T,24+MONTH(R81),lang) &amp; " " &amp; DAY(R81) &amp; ", " &amp; YEAR(R81) &amp; "   " &amp; TEXT(TIME(HOUR(R81),MINUTE(R81),0),"hh:mm")</f>
        <v>Jul 14, 2018   14:00</v>
      </c>
      <c r="BR34" s="102"/>
      <c r="BS34" s="102"/>
      <c r="BT34" s="110"/>
    </row>
    <row r="35" spans="1:72" ht="15" customHeight="1" x14ac:dyDescent="0.25">
      <c r="A35" s="94">
        <v>29</v>
      </c>
      <c r="B35" s="93" t="str">
        <f t="shared" si="0"/>
        <v>Sat</v>
      </c>
      <c r="C35" s="92" t="str">
        <f t="shared" si="1"/>
        <v>Jun 23, 2018</v>
      </c>
      <c r="D35" s="91">
        <f t="shared" si="2"/>
        <v>0.5</v>
      </c>
      <c r="E35" s="90" t="str">
        <f>AB44</f>
        <v>Belgium</v>
      </c>
      <c r="F35" s="89"/>
      <c r="G35" s="88"/>
      <c r="H35" s="87" t="str">
        <f>AB46</f>
        <v>Tunisia</v>
      </c>
      <c r="J35" s="86" t="str">
        <f>VLOOKUP(3,AA32:AK35,2,FALSE)</f>
        <v>Costa Rica</v>
      </c>
      <c r="K35" s="85">
        <f>L35+M35+N35</f>
        <v>0</v>
      </c>
      <c r="L35" s="85">
        <f>VLOOKUP(3,AA32:AK35,3,FALSE)</f>
        <v>0</v>
      </c>
      <c r="M35" s="85">
        <f>VLOOKUP(3,AA32:AK35,4,FALSE)</f>
        <v>0</v>
      </c>
      <c r="N35" s="85">
        <f>VLOOKUP(3,AA32:AK35,5,FALSE)</f>
        <v>0</v>
      </c>
      <c r="O35" s="85" t="str">
        <f>VLOOKUP(3,AA32:AK35,6,FALSE) &amp; " - " &amp; VLOOKUP(3,AA32:AK35,7,FALSE)</f>
        <v>0 - 0</v>
      </c>
      <c r="P35" s="84">
        <f>L35*3+M35</f>
        <v>0</v>
      </c>
      <c r="R35" s="55">
        <f>DATE(2018,6,23)+TIME(1,0,0)+gmt_delta</f>
        <v>43274.5</v>
      </c>
      <c r="S35" s="56" t="str">
        <f t="shared" si="3"/>
        <v/>
      </c>
      <c r="T35" s="56" t="str">
        <f t="shared" si="4"/>
        <v/>
      </c>
      <c r="U35" s="54">
        <f t="shared" si="5"/>
        <v>0</v>
      </c>
      <c r="V35" s="55">
        <f t="shared" si="6"/>
        <v>0</v>
      </c>
      <c r="W35" s="55">
        <f t="shared" si="7"/>
        <v>0</v>
      </c>
      <c r="X35" s="55">
        <f t="shared" si="8"/>
        <v>0</v>
      </c>
      <c r="Y35" s="55" t="str">
        <f t="shared" si="9"/>
        <v/>
      </c>
      <c r="AA35" s="55">
        <f>COUNTIF(AN32:AN35,CONCATENATE("&gt;=",AN35))</f>
        <v>4</v>
      </c>
      <c r="AB35" s="54" t="str">
        <f>VLOOKUP("Serbia",T,lang,FALSE)</f>
        <v>Serbia</v>
      </c>
      <c r="AC35" s="55">
        <f>COUNTIF($S$7:$T$54,"=" &amp; AB35 &amp; "_win")</f>
        <v>0</v>
      </c>
      <c r="AD35" s="55">
        <f>COUNTIF($S$7:$T$54,"=" &amp; AB35 &amp; "_draw")</f>
        <v>0</v>
      </c>
      <c r="AE35" s="55">
        <f>COUNTIF($S$7:$T$54,"=" &amp; AB35 &amp; "_lose")</f>
        <v>0</v>
      </c>
      <c r="AF35" s="55">
        <f>SUMIF($E$7:$E$54,$AB35,$F$7:$F$54) + SUMIF($H$7:$H$54,$AB35,$G$7:$G$54)</f>
        <v>0</v>
      </c>
      <c r="AG35" s="55">
        <f>SUMIF($E$7:$E$54,$AB35,$G$7:$G$54) + SUMIF($H$7:$H$54,$AB35,$F$7:$F$54)</f>
        <v>0</v>
      </c>
      <c r="AH35" s="55">
        <f>(AF35-AG35)*100+AK35*10000+AF35</f>
        <v>0</v>
      </c>
      <c r="AI35" s="55">
        <f>AF35-AG35</f>
        <v>0</v>
      </c>
      <c r="AJ35" s="55">
        <f>(AI35-AI37)/AI36</f>
        <v>0</v>
      </c>
      <c r="AK35" s="55">
        <f>AC35*3+AD35</f>
        <v>0</v>
      </c>
      <c r="AL35" s="55">
        <f>AP35/AP36*1000+AQ35/AQ36*100+AT35/AT36*10+AR35/AR36</f>
        <v>0</v>
      </c>
      <c r="AM35" s="55">
        <f>VLOOKUP(AB35,db_fifarank,2,FALSE)/2000000</f>
        <v>3.7800000000000003E-4</v>
      </c>
      <c r="AN35" s="54">
        <f>1000*AK35/AK36+100*AJ35+10*AF35/AF36+1*AL35/AL36+AM35</f>
        <v>3.7800000000000003E-4</v>
      </c>
      <c r="AP35" s="52">
        <f>SUMPRODUCT(($S$7:$S$54=AB35&amp;"_win")*($U$7:$U$54))+SUMPRODUCT(($T$7:$T$54=AB35&amp;"_win")*($U$7:$U$54))</f>
        <v>0</v>
      </c>
      <c r="AQ35" s="51">
        <f>SUMPRODUCT(($S$7:$S$54=AB35&amp;"_draw")*($U$7:$U$54))+SUMPRODUCT(($T$7:$T$54=AB35&amp;"_draw")*($U$7:$U$54))</f>
        <v>0</v>
      </c>
      <c r="AR35" s="51">
        <f>SUMPRODUCT(($E$7:$E$54=AB35)*($U$7:$U$54)*($F$7:$F$54))+SUMPRODUCT(($H$7:$H$54=AB35)*($U$7:$U$54)*($G$7:$G$54))</f>
        <v>0</v>
      </c>
      <c r="AS35" s="51">
        <f>SUMPRODUCT(($E$7:$E$54=AB35)*($U$7:$U$54)*($G$7:$G$54))+SUMPRODUCT(($H$7:$H$54=AB35)*($U$7:$U$54)*($F$7:$F$54))</f>
        <v>0</v>
      </c>
      <c r="AT35" s="51">
        <f>AR35-AS35</f>
        <v>0</v>
      </c>
      <c r="AY35" s="303"/>
      <c r="AZ35" s="103" t="str">
        <f>AO33</f>
        <v>2E</v>
      </c>
      <c r="BA35" s="78"/>
      <c r="BB35" s="77"/>
      <c r="BC35" s="111"/>
      <c r="BD35" s="102"/>
      <c r="BE35" s="102" t="str">
        <f>INDEX(T,24+MONTH(R72),lang) &amp; " " &amp; DAY(R72) &amp; ", " &amp; YEAR(R72) &amp; "   " &amp; TEXT(TIME(HOUR(R72),MINUTE(R72),0),"hh:mm")</f>
        <v>Jul 7, 2018   18:00</v>
      </c>
      <c r="BF35" s="102"/>
      <c r="BG35" s="102"/>
      <c r="BH35" s="110"/>
      <c r="BI35" s="109"/>
      <c r="BJ35" s="102"/>
      <c r="BK35" s="102"/>
      <c r="BL35" s="102"/>
      <c r="BM35" s="102"/>
      <c r="BN35" s="102"/>
      <c r="BO35" s="102"/>
      <c r="BP35" s="102"/>
      <c r="BQ35" s="302">
        <v>63</v>
      </c>
      <c r="BR35" s="107" t="str">
        <f>Z76</f>
        <v>L61</v>
      </c>
      <c r="BS35" s="106"/>
      <c r="BT35" s="105"/>
    </row>
    <row r="36" spans="1:72" ht="15" customHeight="1" x14ac:dyDescent="0.25">
      <c r="A36" s="94">
        <v>30</v>
      </c>
      <c r="B36" s="93" t="str">
        <f t="shared" si="0"/>
        <v>Sun</v>
      </c>
      <c r="C36" s="92" t="str">
        <f t="shared" si="1"/>
        <v>Jun 24, 2018</v>
      </c>
      <c r="D36" s="91">
        <f t="shared" si="2"/>
        <v>0.5</v>
      </c>
      <c r="E36" s="90" t="str">
        <f>AB47</f>
        <v>England</v>
      </c>
      <c r="F36" s="89"/>
      <c r="G36" s="88"/>
      <c r="H36" s="87" t="str">
        <f>AB45</f>
        <v>Panama</v>
      </c>
      <c r="J36" s="75" t="str">
        <f>VLOOKUP(4,AA32:AK35,2,FALSE)</f>
        <v>Serbia</v>
      </c>
      <c r="K36" s="74">
        <f>L36+M36+N36</f>
        <v>0</v>
      </c>
      <c r="L36" s="74">
        <f>VLOOKUP(4,AA32:AK35,3,FALSE)</f>
        <v>0</v>
      </c>
      <c r="M36" s="74">
        <f>VLOOKUP(4,AA32:AK35,4,FALSE)</f>
        <v>0</v>
      </c>
      <c r="N36" s="74">
        <f>VLOOKUP(4,AA32:AK35,5,FALSE)</f>
        <v>0</v>
      </c>
      <c r="O36" s="74" t="str">
        <f>VLOOKUP(4,AA32:AK35,6,FALSE) &amp; " - " &amp; VLOOKUP(4,AA32:AK35,7,FALSE)</f>
        <v>0 - 0</v>
      </c>
      <c r="P36" s="73">
        <f>L36*3+M36</f>
        <v>0</v>
      </c>
      <c r="R36" s="55">
        <f>DATE(2018,6,24)+TIME(1,0,0)+gmt_delta</f>
        <v>43275.5</v>
      </c>
      <c r="S36" s="56" t="str">
        <f t="shared" si="3"/>
        <v/>
      </c>
      <c r="T36" s="56" t="str">
        <f t="shared" si="4"/>
        <v/>
      </c>
      <c r="U36" s="54">
        <f t="shared" si="5"/>
        <v>0</v>
      </c>
      <c r="V36" s="55">
        <f t="shared" si="6"/>
        <v>0</v>
      </c>
      <c r="W36" s="55">
        <f t="shared" si="7"/>
        <v>0</v>
      </c>
      <c r="X36" s="55">
        <f t="shared" si="8"/>
        <v>0</v>
      </c>
      <c r="Y36" s="55" t="str">
        <f t="shared" si="9"/>
        <v/>
      </c>
      <c r="AC36" s="55">
        <f>MAX(AC32:AC35)-MIN(AC32:AC35)+1</f>
        <v>1</v>
      </c>
      <c r="AD36" s="55">
        <f>MAX(AD32:AD35)-MIN(AD32:AD35)+1</f>
        <v>1</v>
      </c>
      <c r="AE36" s="55">
        <f>MAX(AE32:AE35)-MIN(AE32:AE35)+1</f>
        <v>1</v>
      </c>
      <c r="AF36" s="55">
        <f>MAX(AF32:AF35)-MIN(AF32:AF35)+1</f>
        <v>1</v>
      </c>
      <c r="AG36" s="55">
        <f>MAX(AG32:AG35)-MIN(AG32:AG35)+1</f>
        <v>1</v>
      </c>
      <c r="AH36" s="55">
        <f>MAX(AH32:AH35)-AH37+1</f>
        <v>1</v>
      </c>
      <c r="AI36" s="55">
        <f>MAX(AI32:AI35)-AI37+1</f>
        <v>1</v>
      </c>
      <c r="AK36" s="55">
        <f>MAX(AK32:AK35)-MIN(AK32:AK35)+1</f>
        <v>1</v>
      </c>
      <c r="AL36" s="55">
        <f>MAX(AL32:AL35)-MIN(AL32:AL35)+1</f>
        <v>1</v>
      </c>
      <c r="AP36" s="55">
        <f>MAX(AP32:AP35)-MIN(AP32:AP35)+1</f>
        <v>1</v>
      </c>
      <c r="AQ36" s="55">
        <f>MAX(AQ32:AQ35)-MIN(AQ32:AQ35)+1</f>
        <v>1</v>
      </c>
      <c r="AR36" s="55">
        <f>MAX(AR32:AR35)-MIN(AR32:AR35)+1</f>
        <v>1</v>
      </c>
      <c r="AS36" s="55">
        <f>MAX(AS32:AS35)-MIN(AS32:AS35)+1</f>
        <v>1</v>
      </c>
      <c r="AT36" s="55">
        <f>MAX(AT32:AT35)-MIN(AT32:AT35)+1</f>
        <v>1</v>
      </c>
      <c r="AY36" s="102"/>
      <c r="AZ36" s="102"/>
      <c r="BA36" s="102"/>
      <c r="BB36" s="102"/>
      <c r="BC36" s="109"/>
      <c r="BD36" s="102"/>
      <c r="BE36" s="302">
        <v>60</v>
      </c>
      <c r="BF36" s="107" t="str">
        <f>T64</f>
        <v>W55</v>
      </c>
      <c r="BG36" s="106"/>
      <c r="BH36" s="105"/>
      <c r="BI36" s="104"/>
      <c r="BJ36" s="102"/>
      <c r="BK36" s="102"/>
      <c r="BL36" s="102"/>
      <c r="BM36" s="102"/>
      <c r="BN36" s="102"/>
      <c r="BO36" s="102"/>
      <c r="BP36" s="102"/>
      <c r="BQ36" s="303"/>
      <c r="BR36" s="103" t="str">
        <f>Z77</f>
        <v>L62</v>
      </c>
      <c r="BS36" s="78"/>
      <c r="BT36" s="77"/>
    </row>
    <row r="37" spans="1:72" ht="15" customHeight="1" x14ac:dyDescent="0.25">
      <c r="A37" s="94">
        <v>31</v>
      </c>
      <c r="B37" s="93" t="str">
        <f t="shared" si="0"/>
        <v>Sun</v>
      </c>
      <c r="C37" s="92" t="str">
        <f t="shared" si="1"/>
        <v>Jun 24, 2018</v>
      </c>
      <c r="D37" s="91">
        <f t="shared" si="2"/>
        <v>0.75</v>
      </c>
      <c r="E37" s="90" t="str">
        <f>AB50</f>
        <v>Poland</v>
      </c>
      <c r="F37" s="89"/>
      <c r="G37" s="88"/>
      <c r="H37" s="87" t="str">
        <f>AB52</f>
        <v>Colombia</v>
      </c>
      <c r="R37" s="55">
        <f>DATE(2018,6,24)+TIME(7,0,0)+gmt_delta</f>
        <v>43275.75</v>
      </c>
      <c r="S37" s="56" t="str">
        <f t="shared" si="3"/>
        <v/>
      </c>
      <c r="T37" s="56" t="str">
        <f t="shared" si="4"/>
        <v/>
      </c>
      <c r="U37" s="54">
        <f t="shared" si="5"/>
        <v>0</v>
      </c>
      <c r="V37" s="55">
        <f t="shared" si="6"/>
        <v>0</v>
      </c>
      <c r="W37" s="55">
        <f t="shared" si="7"/>
        <v>0</v>
      </c>
      <c r="X37" s="55">
        <f t="shared" si="8"/>
        <v>0</v>
      </c>
      <c r="Y37" s="55" t="str">
        <f t="shared" si="9"/>
        <v/>
      </c>
      <c r="AH37" s="55">
        <f>MIN(AH32:AH35)</f>
        <v>0</v>
      </c>
      <c r="AI37" s="55">
        <f>MIN(AI32:AI35)</f>
        <v>0</v>
      </c>
      <c r="AY37" s="102" t="str">
        <f>INDEX(T,24+MONTH(R65),lang) &amp; " " &amp; DAY(R65) &amp; ", " &amp; YEAR(R65) &amp; "   " &amp; TEXT(TIME(HOUR(R65),MINUTE(R65),0),"hh:mm")</f>
        <v>Jul 3, 2018   18:00</v>
      </c>
      <c r="AZ37" s="102"/>
      <c r="BA37" s="102"/>
      <c r="BB37" s="110"/>
      <c r="BC37" s="109"/>
      <c r="BD37" s="108"/>
      <c r="BE37" s="303"/>
      <c r="BF37" s="103" t="str">
        <f>T65</f>
        <v>W56</v>
      </c>
      <c r="BG37" s="78"/>
      <c r="BH37" s="77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</row>
    <row r="38" spans="1:72" ht="15" customHeight="1" x14ac:dyDescent="0.25">
      <c r="A38" s="94">
        <v>32</v>
      </c>
      <c r="B38" s="93" t="str">
        <f t="shared" si="0"/>
        <v>Sun</v>
      </c>
      <c r="C38" s="92" t="str">
        <f t="shared" si="1"/>
        <v>Jun 24, 2018</v>
      </c>
      <c r="D38" s="91">
        <f t="shared" si="2"/>
        <v>0.625</v>
      </c>
      <c r="E38" s="90" t="str">
        <f>AB53</f>
        <v>Japan</v>
      </c>
      <c r="F38" s="89"/>
      <c r="G38" s="88"/>
      <c r="H38" s="87" t="str">
        <f>AB51</f>
        <v>Senegal</v>
      </c>
      <c r="J38" s="100" t="str">
        <f>INDEX(T,9,lang) &amp; " " &amp; "F"</f>
        <v>Group F</v>
      </c>
      <c r="K38" s="99" t="str">
        <f>INDEX(T,10,lang)</f>
        <v>PL</v>
      </c>
      <c r="L38" s="99" t="str">
        <f>INDEX(T,11,lang)</f>
        <v>W</v>
      </c>
      <c r="M38" s="99" t="str">
        <f>INDEX(T,12,lang)</f>
        <v>DRAW</v>
      </c>
      <c r="N38" s="99" t="str">
        <f>INDEX(T,13,lang)</f>
        <v>L</v>
      </c>
      <c r="O38" s="99" t="str">
        <f>INDEX(T,14,lang)</f>
        <v>GF - GA</v>
      </c>
      <c r="P38" s="98" t="str">
        <f>INDEX(T,15,lang)</f>
        <v>PNT</v>
      </c>
      <c r="R38" s="55">
        <f>DATE(2018,6,24)+TIME(4,0,0)+gmt_delta</f>
        <v>43275.625</v>
      </c>
      <c r="S38" s="56" t="str">
        <f t="shared" si="3"/>
        <v/>
      </c>
      <c r="T38" s="56" t="str">
        <f t="shared" si="4"/>
        <v/>
      </c>
      <c r="U38" s="54">
        <f t="shared" si="5"/>
        <v>0</v>
      </c>
      <c r="V38" s="55">
        <f t="shared" si="6"/>
        <v>0</v>
      </c>
      <c r="W38" s="55">
        <f t="shared" si="7"/>
        <v>0</v>
      </c>
      <c r="X38" s="55">
        <f t="shared" si="8"/>
        <v>0</v>
      </c>
      <c r="Y38" s="55" t="str">
        <f t="shared" si="9"/>
        <v/>
      </c>
      <c r="AA38" s="55">
        <f>COUNTIF(AN38:AN41,CONCATENATE("&gt;=",AN38))</f>
        <v>1</v>
      </c>
      <c r="AB38" s="54" t="str">
        <f>VLOOKUP("Germany",T,lang,FALSE)</f>
        <v>Germany</v>
      </c>
      <c r="AC38" s="55">
        <f>COUNTIF($S$7:$T$54,"=" &amp; AB38 &amp; "_win")</f>
        <v>0</v>
      </c>
      <c r="AD38" s="55">
        <f>COUNTIF($S$7:$T$54,"=" &amp; AB38 &amp; "_draw")</f>
        <v>0</v>
      </c>
      <c r="AE38" s="55">
        <f>COUNTIF($S$7:$T$54,"=" &amp; AB38 &amp; "_lose")</f>
        <v>0</v>
      </c>
      <c r="AF38" s="55">
        <f>SUMIF($E$7:$E$54,$AB38,$F$7:$F$54) + SUMIF($H$7:$H$54,$AB38,$G$7:$G$54)</f>
        <v>0</v>
      </c>
      <c r="AG38" s="55">
        <f>SUMIF($E$7:$E$54,$AB38,$G$7:$G$54) + SUMIF($H$7:$H$54,$AB38,$F$7:$F$54)</f>
        <v>0</v>
      </c>
      <c r="AH38" s="55">
        <f>(AF38-AG38)*100+AK38*10000+AF38</f>
        <v>0</v>
      </c>
      <c r="AI38" s="55">
        <f>AF38-AG38</f>
        <v>0</v>
      </c>
      <c r="AJ38" s="55">
        <f>(AI38-AI43)/AI42</f>
        <v>0</v>
      </c>
      <c r="AK38" s="55">
        <f>AC38*3+AD38</f>
        <v>0</v>
      </c>
      <c r="AL38" s="55">
        <f>AP38/AP42*1000+AQ38/AQ42*100+AT38/AT42*10+AR38/AR42</f>
        <v>0</v>
      </c>
      <c r="AM38" s="55">
        <f>VLOOKUP(AB38,db_fifarank,2,FALSE)/2000000</f>
        <v>8.0099999999999995E-4</v>
      </c>
      <c r="AN38" s="54">
        <f>1000*AK38/AK42+100*AJ38+10*AF38/AF42+1*AL38/AL42+AM38</f>
        <v>8.0099999999999995E-4</v>
      </c>
      <c r="AO38" s="53" t="str">
        <f>IF(SUM(AC38:AE41)=12,J39,INDEX(T,80,lang))</f>
        <v>1F</v>
      </c>
      <c r="AP38" s="52">
        <f>SUMPRODUCT(($S$7:$S$54=AB38&amp;"_win")*($U$7:$U$54))+SUMPRODUCT(($T$7:$T$54=AB38&amp;"_win")*($U$7:$U$54))</f>
        <v>0</v>
      </c>
      <c r="AQ38" s="51">
        <f>SUMPRODUCT(($S$7:$S$54=AB38&amp;"_draw")*($U$7:$U$54))+SUMPRODUCT(($T$7:$T$54=AB38&amp;"_draw")*($U$7:$U$54))</f>
        <v>0</v>
      </c>
      <c r="AR38" s="51">
        <f>SUMPRODUCT(($E$7:$E$54=AB38)*($U$7:$U$54)*($F$7:$F$54))+SUMPRODUCT(($H$7:$H$54=AB38)*($U$7:$U$54)*($G$7:$G$54))</f>
        <v>0</v>
      </c>
      <c r="AS38" s="51">
        <f>SUMPRODUCT(($E$7:$E$54=AB38)*($U$7:$U$54)*($G$7:$G$54))+SUMPRODUCT(($H$7:$H$54=AB38)*($U$7:$U$54)*($F$7:$F$54))</f>
        <v>0</v>
      </c>
      <c r="AT38" s="51">
        <f>AR38-AS38</f>
        <v>0</v>
      </c>
      <c r="AY38" s="302">
        <v>56</v>
      </c>
      <c r="AZ38" s="107" t="str">
        <f>AO50</f>
        <v>1H</v>
      </c>
      <c r="BA38" s="106"/>
      <c r="BB38" s="105"/>
      <c r="BC38" s="104"/>
      <c r="BD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</row>
    <row r="39" spans="1:72" ht="15" customHeight="1" x14ac:dyDescent="0.25">
      <c r="A39" s="94">
        <v>33</v>
      </c>
      <c r="B39" s="93" t="str">
        <f t="shared" si="0"/>
        <v>Mon</v>
      </c>
      <c r="C39" s="92" t="str">
        <f t="shared" si="1"/>
        <v>Jun 25, 2018</v>
      </c>
      <c r="D39" s="91">
        <f t="shared" si="2"/>
        <v>0.58333333333333337</v>
      </c>
      <c r="E39" s="90" t="str">
        <f>AB11</f>
        <v>Uruguay</v>
      </c>
      <c r="F39" s="89"/>
      <c r="G39" s="88"/>
      <c r="H39" s="87" t="str">
        <f>AB8</f>
        <v>Russia</v>
      </c>
      <c r="J39" s="97" t="str">
        <f>VLOOKUP(1,AA38:AK41,2,FALSE)</f>
        <v>Germany</v>
      </c>
      <c r="K39" s="96">
        <f>L39+M39+N39</f>
        <v>0</v>
      </c>
      <c r="L39" s="96">
        <f>VLOOKUP(1,AA38:AK41,3,FALSE)</f>
        <v>0</v>
      </c>
      <c r="M39" s="96">
        <f>VLOOKUP(1,AA38:AK41,4,FALSE)</f>
        <v>0</v>
      </c>
      <c r="N39" s="96">
        <f>VLOOKUP(1,AA38:AK41,5,FALSE)</f>
        <v>0</v>
      </c>
      <c r="O39" s="96" t="str">
        <f>VLOOKUP(1,AA38:AK41,6,FALSE) &amp; " - " &amp; VLOOKUP(1,AA38:AK41,7,FALSE)</f>
        <v>0 - 0</v>
      </c>
      <c r="P39" s="95">
        <f>L39*3+M39</f>
        <v>0</v>
      </c>
      <c r="R39" s="55">
        <f>DATE(2018,6,25)+TIME(3,0,0)+gmt_delta</f>
        <v>43276.583333333336</v>
      </c>
      <c r="S39" s="56" t="str">
        <f t="shared" si="3"/>
        <v/>
      </c>
      <c r="T39" s="56" t="str">
        <f t="shared" si="4"/>
        <v/>
      </c>
      <c r="U39" s="54">
        <f t="shared" si="5"/>
        <v>0</v>
      </c>
      <c r="V39" s="55">
        <f t="shared" si="6"/>
        <v>0</v>
      </c>
      <c r="W39" s="55">
        <f t="shared" si="7"/>
        <v>0</v>
      </c>
      <c r="X39" s="55">
        <f t="shared" si="8"/>
        <v>0</v>
      </c>
      <c r="Y39" s="55" t="str">
        <f t="shared" si="9"/>
        <v/>
      </c>
      <c r="AA39" s="55">
        <f>COUNTIF(AN38:AN41,CONCATENATE("&gt;=",AN39))</f>
        <v>2</v>
      </c>
      <c r="AB39" s="54" t="str">
        <f>VLOOKUP("Mexico",T,lang,FALSE)</f>
        <v>Mexico</v>
      </c>
      <c r="AC39" s="55">
        <f>COUNTIF($S$7:$T$54,"=" &amp; AB39 &amp; "_win")</f>
        <v>0</v>
      </c>
      <c r="AD39" s="55">
        <f>COUNTIF($S$7:$T$54,"=" &amp; AB39 &amp; "_draw")</f>
        <v>0</v>
      </c>
      <c r="AE39" s="55">
        <f>COUNTIF($S$7:$T$54,"=" &amp; AB39 &amp; "_lose")</f>
        <v>0</v>
      </c>
      <c r="AF39" s="55">
        <f>SUMIF($E$7:$E$54,$AB39,$F$7:$F$54) + SUMIF($H$7:$H$54,$AB39,$G$7:$G$54)</f>
        <v>0</v>
      </c>
      <c r="AG39" s="55">
        <f>SUMIF($E$7:$E$54,$AB39,$G$7:$G$54) + SUMIF($H$7:$H$54,$AB39,$F$7:$F$54)</f>
        <v>0</v>
      </c>
      <c r="AH39" s="55">
        <f>(AF39-AG39)*100+AK39*10000+AF39</f>
        <v>0</v>
      </c>
      <c r="AI39" s="55">
        <f>AF39-AG39</f>
        <v>0</v>
      </c>
      <c r="AJ39" s="55">
        <f>(AI39-AI43)/AI42</f>
        <v>0</v>
      </c>
      <c r="AK39" s="55">
        <f>AC39*3+AD39</f>
        <v>0</v>
      </c>
      <c r="AL39" s="55">
        <f>AP39/AP42*1000+AQ39/AQ42*100+AT39/AT42*10+AR39/AR42</f>
        <v>0</v>
      </c>
      <c r="AM39" s="55">
        <f>VLOOKUP(AB39,db_fifarank,2,FALSE)/2000000</f>
        <v>5.1599999999999997E-4</v>
      </c>
      <c r="AN39" s="54">
        <f>1000*AK39/AK42+100*AJ39+10*AF39/AF42+1*AL39/AL42+AM39</f>
        <v>5.1599999999999997E-4</v>
      </c>
      <c r="AO39" s="53" t="str">
        <f>IF(SUM(AC38:AE41)=12,J40,INDEX(T,81,lang))</f>
        <v>2F</v>
      </c>
      <c r="AP39" s="52">
        <f>SUMPRODUCT(($S$7:$S$54=AB39&amp;"_win")*($U$7:$U$54))+SUMPRODUCT(($T$7:$T$54=AB39&amp;"_win")*($U$7:$U$54))</f>
        <v>0</v>
      </c>
      <c r="AQ39" s="51">
        <f>SUMPRODUCT(($S$7:$S$54=AB39&amp;"_draw")*($U$7:$U$54))+SUMPRODUCT(($T$7:$T$54=AB39&amp;"_draw")*($U$7:$U$54))</f>
        <v>0</v>
      </c>
      <c r="AR39" s="51">
        <f>SUMPRODUCT(($E$7:$E$54=AB39)*($U$7:$U$54)*($F$7:$F$54))+SUMPRODUCT(($H$7:$H$54=AB39)*($U$7:$U$54)*($G$7:$G$54))</f>
        <v>0</v>
      </c>
      <c r="AS39" s="51">
        <f>SUMPRODUCT(($E$7:$E$54=AB39)*($U$7:$U$54)*($G$7:$G$54))+SUMPRODUCT(($H$7:$H$54=AB39)*($U$7:$U$54)*($F$7:$F$54))</f>
        <v>0</v>
      </c>
      <c r="AT39" s="51">
        <f>AR39-AS39</f>
        <v>0</v>
      </c>
      <c r="AY39" s="303"/>
      <c r="AZ39" s="103" t="str">
        <f>AO45</f>
        <v>2G</v>
      </c>
      <c r="BA39" s="78"/>
      <c r="BB39" s="77"/>
      <c r="BC39" s="102"/>
      <c r="BD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</row>
    <row r="40" spans="1:72" ht="15" customHeight="1" thickBot="1" x14ac:dyDescent="0.3">
      <c r="A40" s="94">
        <v>34</v>
      </c>
      <c r="B40" s="93" t="str">
        <f t="shared" si="0"/>
        <v>Mon</v>
      </c>
      <c r="C40" s="92" t="str">
        <f t="shared" si="1"/>
        <v>Jun 25, 2018</v>
      </c>
      <c r="D40" s="91">
        <f t="shared" si="2"/>
        <v>0.58333333333333337</v>
      </c>
      <c r="E40" s="90" t="str">
        <f>AB9</f>
        <v>Saudi Arabia</v>
      </c>
      <c r="F40" s="89"/>
      <c r="G40" s="88"/>
      <c r="H40" s="87" t="str">
        <f>AB10</f>
        <v>Egypt</v>
      </c>
      <c r="J40" s="86" t="str">
        <f>VLOOKUP(2,AA38:AK41,2,FALSE)</f>
        <v>Mexico</v>
      </c>
      <c r="K40" s="85">
        <f>L40+M40+N40</f>
        <v>0</v>
      </c>
      <c r="L40" s="85">
        <f>VLOOKUP(2,AA38:AK41,3,FALSE)</f>
        <v>0</v>
      </c>
      <c r="M40" s="85">
        <f>VLOOKUP(2,AA38:AK41,4,FALSE)</f>
        <v>0</v>
      </c>
      <c r="N40" s="85">
        <f>VLOOKUP(2,AA38:AK41,5,FALSE)</f>
        <v>0</v>
      </c>
      <c r="O40" s="85" t="str">
        <f>VLOOKUP(2,AA38:AK41,6,FALSE) &amp; " - " &amp; VLOOKUP(2,AA38:AK41,7,FALSE)</f>
        <v>0 - 0</v>
      </c>
      <c r="P40" s="84">
        <f>L40*3+M40</f>
        <v>0</v>
      </c>
      <c r="R40" s="55">
        <f>DATE(2018,6,25)+TIME(3,0,0)+gmt_delta</f>
        <v>43276.583333333336</v>
      </c>
      <c r="S40" s="56" t="str">
        <f t="shared" si="3"/>
        <v/>
      </c>
      <c r="T40" s="56" t="str">
        <f t="shared" si="4"/>
        <v/>
      </c>
      <c r="U40" s="54">
        <f t="shared" si="5"/>
        <v>0</v>
      </c>
      <c r="V40" s="55">
        <f t="shared" si="6"/>
        <v>0</v>
      </c>
      <c r="W40" s="55">
        <f t="shared" si="7"/>
        <v>0</v>
      </c>
      <c r="X40" s="55">
        <f t="shared" si="8"/>
        <v>0</v>
      </c>
      <c r="Y40" s="55" t="str">
        <f t="shared" si="9"/>
        <v/>
      </c>
      <c r="AA40" s="55">
        <f>COUNTIF(AN38:AN41,CONCATENATE("&gt;=",AN40))</f>
        <v>3</v>
      </c>
      <c r="AB40" s="54" t="str">
        <f>VLOOKUP("Sweden",T,lang,FALSE)</f>
        <v>Sweden</v>
      </c>
      <c r="AC40" s="55">
        <f>COUNTIF($S$7:$T$54,"=" &amp; AB40 &amp; "_win")</f>
        <v>0</v>
      </c>
      <c r="AD40" s="55">
        <f>COUNTIF($S$7:$T$54,"=" &amp; AB40 &amp; "_draw")</f>
        <v>0</v>
      </c>
      <c r="AE40" s="55">
        <f>COUNTIF($S$7:$T$54,"=" &amp; AB40 &amp; "_lose")</f>
        <v>0</v>
      </c>
      <c r="AF40" s="55">
        <f>SUMIF($E$7:$E$54,$AB40,$F$7:$F$54) + SUMIF($H$7:$H$54,$AB40,$G$7:$G$54)</f>
        <v>0</v>
      </c>
      <c r="AG40" s="55">
        <f>SUMIF($E$7:$E$54,$AB40,$G$7:$G$54) + SUMIF($H$7:$H$54,$AB40,$F$7:$F$54)</f>
        <v>0</v>
      </c>
      <c r="AH40" s="55">
        <f>(AF40-AG40)*100+AK40*10000+AF40</f>
        <v>0</v>
      </c>
      <c r="AI40" s="55">
        <f>AF40-AG40</f>
        <v>0</v>
      </c>
      <c r="AJ40" s="55">
        <f>(AI40-AI43)/AI42</f>
        <v>0</v>
      </c>
      <c r="AK40" s="55">
        <f>AC40*3+AD40</f>
        <v>0</v>
      </c>
      <c r="AL40" s="55">
        <f>AP40/AP42*1000+AQ40/AQ42*100+AT40/AT42*10+AR40/AR42</f>
        <v>0</v>
      </c>
      <c r="AM40" s="55">
        <f>VLOOKUP(AB40,db_fifarank,2,FALSE)/2000000</f>
        <v>4.9899999999999999E-4</v>
      </c>
      <c r="AN40" s="54">
        <f>1000*AK40/AK42+100*AJ40+10*AF40/AF42+1*AL40/AL42+AM40</f>
        <v>4.9899999999999999E-4</v>
      </c>
      <c r="AP40" s="52">
        <f>SUMPRODUCT(($S$7:$S$54=AB40&amp;"_win")*($U$7:$U$54))+SUMPRODUCT(($T$7:$T$54=AB40&amp;"_win")*($U$7:$U$54))</f>
        <v>0</v>
      </c>
      <c r="AQ40" s="51">
        <f>SUMPRODUCT(($S$7:$S$54=AB40&amp;"_draw")*($U$7:$U$54))+SUMPRODUCT(($T$7:$T$54=AB40&amp;"_draw")*($U$7:$U$54))</f>
        <v>0</v>
      </c>
      <c r="AR40" s="51">
        <f>SUMPRODUCT(($E$7:$E$54=AB40)*($U$7:$U$54)*($F$7:$F$54))+SUMPRODUCT(($H$7:$H$54=AB40)*($U$7:$U$54)*($G$7:$G$54))</f>
        <v>0</v>
      </c>
      <c r="AS40" s="51">
        <f>SUMPRODUCT(($E$7:$E$54=AB40)*($U$7:$U$54)*($G$7:$G$54))+SUMPRODUCT(($H$7:$H$54=AB40)*($U$7:$U$54)*($F$7:$F$54))</f>
        <v>0</v>
      </c>
      <c r="AT40" s="51">
        <f>AR40-AS40</f>
        <v>0</v>
      </c>
    </row>
    <row r="41" spans="1:72" ht="15" customHeight="1" x14ac:dyDescent="0.25">
      <c r="A41" s="94">
        <v>35</v>
      </c>
      <c r="B41" s="93" t="str">
        <f t="shared" si="0"/>
        <v>Mon</v>
      </c>
      <c r="C41" s="92" t="str">
        <f t="shared" si="1"/>
        <v>Jun 25, 2018</v>
      </c>
      <c r="D41" s="91">
        <f t="shared" si="2"/>
        <v>0.75</v>
      </c>
      <c r="E41" s="90" t="str">
        <f>AB17</f>
        <v>Iran</v>
      </c>
      <c r="F41" s="89"/>
      <c r="G41" s="88"/>
      <c r="H41" s="87" t="str">
        <f>AB14</f>
        <v>Portugal</v>
      </c>
      <c r="J41" s="86" t="str">
        <f>VLOOKUP(3,AA38:AK41,2,FALSE)</f>
        <v>Sweden</v>
      </c>
      <c r="K41" s="85">
        <f>L41+M41+N41</f>
        <v>0</v>
      </c>
      <c r="L41" s="85">
        <f>VLOOKUP(3,AA38:AK41,3,FALSE)</f>
        <v>0</v>
      </c>
      <c r="M41" s="85">
        <f>VLOOKUP(3,AA38:AK41,4,FALSE)</f>
        <v>0</v>
      </c>
      <c r="N41" s="85">
        <f>VLOOKUP(3,AA38:AK41,5,FALSE)</f>
        <v>0</v>
      </c>
      <c r="O41" s="85" t="str">
        <f>VLOOKUP(3,AA38:AK41,6,FALSE) &amp; " - " &amp; VLOOKUP(3,AA38:AK41,7,FALSE)</f>
        <v>0 - 0</v>
      </c>
      <c r="P41" s="84">
        <f>L41*3+M41</f>
        <v>0</v>
      </c>
      <c r="R41" s="55">
        <f>DATE(2018,6,25)+TIME(7,0,0)+gmt_delta</f>
        <v>43276.75</v>
      </c>
      <c r="S41" s="56" t="str">
        <f t="shared" si="3"/>
        <v/>
      </c>
      <c r="T41" s="56" t="str">
        <f t="shared" si="4"/>
        <v/>
      </c>
      <c r="U41" s="54">
        <f t="shared" si="5"/>
        <v>0</v>
      </c>
      <c r="V41" s="55">
        <f t="shared" si="6"/>
        <v>0</v>
      </c>
      <c r="W41" s="55">
        <f t="shared" si="7"/>
        <v>0</v>
      </c>
      <c r="X41" s="55">
        <f t="shared" si="8"/>
        <v>0</v>
      </c>
      <c r="Y41" s="55" t="str">
        <f t="shared" si="9"/>
        <v/>
      </c>
      <c r="AA41" s="55">
        <f>COUNTIF(AN38:AN41,CONCATENATE("&gt;=",AN41))</f>
        <v>4</v>
      </c>
      <c r="AB41" s="54" t="str">
        <f>VLOOKUP("Korea Republic",T,lang,FALSE)</f>
        <v>Korea Republic</v>
      </c>
      <c r="AC41" s="55">
        <f>COUNTIF($S$7:$T$54,"=" &amp; AB41 &amp; "_win")</f>
        <v>0</v>
      </c>
      <c r="AD41" s="55">
        <f>COUNTIF($S$7:$T$54,"=" &amp; AB41 &amp; "_draw")</f>
        <v>0</v>
      </c>
      <c r="AE41" s="55">
        <f>COUNTIF($S$7:$T$54,"=" &amp; AB41 &amp; "_lose")</f>
        <v>0</v>
      </c>
      <c r="AF41" s="55">
        <f>SUMIF($E$7:$E$54,$AB41,$F$7:$F$54) + SUMIF($H$7:$H$54,$AB41,$G$7:$G$54)</f>
        <v>0</v>
      </c>
      <c r="AG41" s="55">
        <f>SUMIF($E$7:$E$54,$AB41,$G$7:$G$54) + SUMIF($H$7:$H$54,$AB41,$F$7:$F$54)</f>
        <v>0</v>
      </c>
      <c r="AH41" s="55">
        <f>(AF41-AG41)*100+AK41*10000+AF41</f>
        <v>0</v>
      </c>
      <c r="AI41" s="55">
        <f>AF41-AG41</f>
        <v>0</v>
      </c>
      <c r="AJ41" s="55">
        <f>(AI41-AI43)/AI42</f>
        <v>0</v>
      </c>
      <c r="AK41" s="55">
        <f>AC41*3+AD41</f>
        <v>0</v>
      </c>
      <c r="AL41" s="55">
        <f>AP41/AP42*1000+AQ41/AQ42*100+AT41/AT42*10+AR41/AR42</f>
        <v>0</v>
      </c>
      <c r="AM41" s="55">
        <f>VLOOKUP(AB41,db_fifarank,2,FALSE)/2000000</f>
        <v>2.8499999999999999E-4</v>
      </c>
      <c r="AN41" s="54">
        <f>1000*AK41/AK42+100*AJ41+10*AF41/AF42+1*AL41/AL42+AM41</f>
        <v>2.8499999999999999E-4</v>
      </c>
      <c r="AP41" s="52">
        <f>SUMPRODUCT(($S$7:$S$54=AB41&amp;"_win")*($U$7:$U$54))+SUMPRODUCT(($T$7:$T$54=AB41&amp;"_win")*($U$7:$U$54))</f>
        <v>0</v>
      </c>
      <c r="AQ41" s="51">
        <f>SUMPRODUCT(($S$7:$S$54=AB41&amp;"_draw")*($U$7:$U$54))+SUMPRODUCT(($T$7:$T$54=AB41&amp;"_draw")*($U$7:$U$54))</f>
        <v>0</v>
      </c>
      <c r="AR41" s="51">
        <f>SUMPRODUCT(($E$7:$E$54=AB41)*($U$7:$U$54)*($F$7:$F$54))+SUMPRODUCT(($H$7:$H$54=AB41)*($U$7:$U$54)*($G$7:$G$54))</f>
        <v>0</v>
      </c>
      <c r="AS41" s="51">
        <f>SUMPRODUCT(($E$7:$E$54=AB41)*($U$7:$U$54)*($G$7:$G$54))+SUMPRODUCT(($H$7:$H$54=AB41)*($U$7:$U$54)*($F$7:$F$54))</f>
        <v>0</v>
      </c>
      <c r="AT41" s="51">
        <f>AR41-AS41</f>
        <v>0</v>
      </c>
      <c r="BJ41" s="313" t="str">
        <f>INDEX(T,102,lang)</f>
        <v>World Champion 2018</v>
      </c>
      <c r="BK41" s="313"/>
      <c r="BL41" s="313"/>
      <c r="BM41" s="313"/>
      <c r="BN41" s="313"/>
      <c r="BO41" s="315" t="str">
        <f>S85</f>
        <v/>
      </c>
      <c r="BP41" s="315"/>
      <c r="BQ41" s="315"/>
      <c r="BR41" s="315"/>
      <c r="BS41" s="315"/>
      <c r="BT41" s="315"/>
    </row>
    <row r="42" spans="1:72" ht="15" customHeight="1" x14ac:dyDescent="0.25">
      <c r="A42" s="94">
        <v>36</v>
      </c>
      <c r="B42" s="93" t="str">
        <f t="shared" si="0"/>
        <v>Mon</v>
      </c>
      <c r="C42" s="92" t="str">
        <f t="shared" si="1"/>
        <v>Jun 25, 2018</v>
      </c>
      <c r="D42" s="91">
        <f t="shared" si="2"/>
        <v>0.75</v>
      </c>
      <c r="E42" s="90" t="str">
        <f>AB15</f>
        <v>Spain</v>
      </c>
      <c r="F42" s="89"/>
      <c r="G42" s="88"/>
      <c r="H42" s="87" t="str">
        <f>AB16</f>
        <v>Morocco</v>
      </c>
      <c r="J42" s="75" t="str">
        <f>VLOOKUP(4,AA38:AK41,2,FALSE)</f>
        <v>Korea Republic</v>
      </c>
      <c r="K42" s="74">
        <f>L42+M42+N42</f>
        <v>0</v>
      </c>
      <c r="L42" s="74">
        <f>VLOOKUP(4,AA38:AK41,3,FALSE)</f>
        <v>0</v>
      </c>
      <c r="M42" s="74">
        <f>VLOOKUP(4,AA38:AK41,4,FALSE)</f>
        <v>0</v>
      </c>
      <c r="N42" s="74">
        <f>VLOOKUP(4,AA38:AK41,5,FALSE)</f>
        <v>0</v>
      </c>
      <c r="O42" s="74" t="str">
        <f>VLOOKUP(4,AA38:AK41,6,FALSE) &amp; " - " &amp; VLOOKUP(4,AA38:AK41,7,FALSE)</f>
        <v>0 - 0</v>
      </c>
      <c r="P42" s="73">
        <f>L42*3+M42</f>
        <v>0</v>
      </c>
      <c r="R42" s="55">
        <f>DATE(2018,6,25)+TIME(7,0,0)+gmt_delta</f>
        <v>43276.75</v>
      </c>
      <c r="S42" s="56" t="str">
        <f t="shared" si="3"/>
        <v/>
      </c>
      <c r="T42" s="56" t="str">
        <f t="shared" si="4"/>
        <v/>
      </c>
      <c r="U42" s="54">
        <f t="shared" si="5"/>
        <v>0</v>
      </c>
      <c r="V42" s="55">
        <f t="shared" si="6"/>
        <v>0</v>
      </c>
      <c r="W42" s="55">
        <f t="shared" si="7"/>
        <v>0</v>
      </c>
      <c r="X42" s="55">
        <f t="shared" si="8"/>
        <v>0</v>
      </c>
      <c r="Y42" s="55" t="str">
        <f t="shared" si="9"/>
        <v/>
      </c>
      <c r="AC42" s="55">
        <f>MAX(AC38:AC41)-MIN(AC38:AC41)+1</f>
        <v>1</v>
      </c>
      <c r="AD42" s="55">
        <f>MAX(AD38:AD41)-MIN(AD38:AD41)+1</f>
        <v>1</v>
      </c>
      <c r="AE42" s="55">
        <f>MAX(AE38:AE41)-MIN(AE38:AE41)+1</f>
        <v>1</v>
      </c>
      <c r="AF42" s="55">
        <f>MAX(AF38:AF41)-MIN(AF38:AF41)+1</f>
        <v>1</v>
      </c>
      <c r="AG42" s="55">
        <f>MAX(AG38:AG41)-MIN(AG38:AG41)+1</f>
        <v>1</v>
      </c>
      <c r="AH42" s="55">
        <f>MAX(AH38:AH41)-AH43+1</f>
        <v>1</v>
      </c>
      <c r="AI42" s="55">
        <f>MAX(AI38:AI41)-AI43+1</f>
        <v>1</v>
      </c>
      <c r="AK42" s="55">
        <f>MAX(AK38:AK41)-MIN(AK38:AK41)+1</f>
        <v>1</v>
      </c>
      <c r="AL42" s="55">
        <f>MAX(AL38:AL41)-MIN(AL38:AL41)+1</f>
        <v>1</v>
      </c>
      <c r="AP42" s="55">
        <f>MAX(AP38:AP41)-MIN(AP38:AP41)+1</f>
        <v>1</v>
      </c>
      <c r="AQ42" s="55">
        <f>MAX(AQ38:AQ41)-MIN(AQ38:AQ41)+1</f>
        <v>1</v>
      </c>
      <c r="AR42" s="55">
        <f>MAX(AR38:AR41)-MIN(AR38:AR41)+1</f>
        <v>1</v>
      </c>
      <c r="AS42" s="55">
        <f>MAX(AS38:AS41)-MIN(AS38:AS41)+1</f>
        <v>1</v>
      </c>
      <c r="AT42" s="55">
        <f>MAX(AT38:AT41)-MIN(AT38:AT41)+1</f>
        <v>1</v>
      </c>
      <c r="BJ42" s="314"/>
      <c r="BK42" s="314"/>
      <c r="BL42" s="314"/>
      <c r="BM42" s="314"/>
      <c r="BN42" s="314"/>
      <c r="BO42" s="316"/>
      <c r="BP42" s="316"/>
      <c r="BQ42" s="316"/>
      <c r="BR42" s="316"/>
      <c r="BS42" s="316"/>
      <c r="BT42" s="316"/>
    </row>
    <row r="43" spans="1:72" ht="15" customHeight="1" x14ac:dyDescent="0.25">
      <c r="A43" s="94">
        <v>37</v>
      </c>
      <c r="B43" s="93" t="str">
        <f t="shared" si="0"/>
        <v>Tue</v>
      </c>
      <c r="C43" s="92" t="str">
        <f t="shared" si="1"/>
        <v>Jun 26, 2018</v>
      </c>
      <c r="D43" s="91">
        <f t="shared" si="2"/>
        <v>0.58333333333333337</v>
      </c>
      <c r="E43" s="90" t="str">
        <f>AB23</f>
        <v>Denmark</v>
      </c>
      <c r="F43" s="89"/>
      <c r="G43" s="88"/>
      <c r="H43" s="87" t="str">
        <f>AB20</f>
        <v>France</v>
      </c>
      <c r="R43" s="55">
        <f>DATE(2018,6,26)+TIME(3,0,0)+gmt_delta</f>
        <v>43277.583333333336</v>
      </c>
      <c r="S43" s="56" t="str">
        <f t="shared" si="3"/>
        <v/>
      </c>
      <c r="T43" s="56" t="str">
        <f t="shared" si="4"/>
        <v/>
      </c>
      <c r="U43" s="54">
        <f t="shared" si="5"/>
        <v>0</v>
      </c>
      <c r="V43" s="55">
        <f t="shared" si="6"/>
        <v>0</v>
      </c>
      <c r="W43" s="55">
        <f t="shared" si="7"/>
        <v>0</v>
      </c>
      <c r="X43" s="55">
        <f t="shared" si="8"/>
        <v>0</v>
      </c>
      <c r="Y43" s="55" t="str">
        <f t="shared" si="9"/>
        <v/>
      </c>
      <c r="AH43" s="55">
        <f>MIN(AH38:AH41)</f>
        <v>0</v>
      </c>
      <c r="AI43" s="55">
        <f>MIN(AI38:AI41)</f>
        <v>0</v>
      </c>
      <c r="AY43" s="101"/>
    </row>
    <row r="44" spans="1:72" ht="15" customHeight="1" x14ac:dyDescent="0.25">
      <c r="A44" s="94">
        <v>38</v>
      </c>
      <c r="B44" s="93" t="str">
        <f t="shared" si="0"/>
        <v>Tue</v>
      </c>
      <c r="C44" s="92" t="str">
        <f t="shared" si="1"/>
        <v>Jun 26, 2018</v>
      </c>
      <c r="D44" s="91">
        <f t="shared" si="2"/>
        <v>0.58333333333333337</v>
      </c>
      <c r="E44" s="90" t="str">
        <f>AB21</f>
        <v>Australia</v>
      </c>
      <c r="F44" s="89"/>
      <c r="G44" s="88"/>
      <c r="H44" s="87" t="str">
        <f>AB22</f>
        <v>Peru</v>
      </c>
      <c r="J44" s="100" t="str">
        <f>INDEX(T,9,lang) &amp; " " &amp; "G"</f>
        <v>Group G</v>
      </c>
      <c r="K44" s="99" t="str">
        <f>INDEX(T,10,lang)</f>
        <v>PL</v>
      </c>
      <c r="L44" s="99" t="str">
        <f>INDEX(T,11,lang)</f>
        <v>W</v>
      </c>
      <c r="M44" s="99" t="str">
        <f>INDEX(T,12,lang)</f>
        <v>DRAW</v>
      </c>
      <c r="N44" s="99" t="str">
        <f>INDEX(T,13,lang)</f>
        <v>L</v>
      </c>
      <c r="O44" s="99" t="str">
        <f>INDEX(T,14,lang)</f>
        <v>GF - GA</v>
      </c>
      <c r="P44" s="98" t="str">
        <f>INDEX(T,15,lang)</f>
        <v>PNT</v>
      </c>
      <c r="R44" s="55">
        <f>DATE(2018,6,26)+TIME(3,0,0)+gmt_delta</f>
        <v>43277.583333333336</v>
      </c>
      <c r="S44" s="56" t="str">
        <f t="shared" si="3"/>
        <v/>
      </c>
      <c r="T44" s="56" t="str">
        <f t="shared" si="4"/>
        <v/>
      </c>
      <c r="U44" s="54">
        <f t="shared" si="5"/>
        <v>0</v>
      </c>
      <c r="V44" s="55">
        <f t="shared" si="6"/>
        <v>0</v>
      </c>
      <c r="W44" s="55">
        <f t="shared" si="7"/>
        <v>0</v>
      </c>
      <c r="X44" s="55">
        <f t="shared" si="8"/>
        <v>0</v>
      </c>
      <c r="Y44" s="55" t="str">
        <f t="shared" si="9"/>
        <v/>
      </c>
      <c r="AA44" s="55">
        <f>COUNTIF(AN44:AN47,CONCATENATE("&gt;=",AN44))</f>
        <v>1</v>
      </c>
      <c r="AB44" s="54" t="str">
        <f>VLOOKUP("Belgium",T,lang,FALSE)</f>
        <v>Belgium</v>
      </c>
      <c r="AC44" s="55">
        <f>COUNTIF($S$7:$T$54,"=" &amp; AB44 &amp; "_win")</f>
        <v>0</v>
      </c>
      <c r="AD44" s="55">
        <f>COUNTIF($S$7:$T$54,"=" &amp; AB44 &amp; "_draw")</f>
        <v>0</v>
      </c>
      <c r="AE44" s="55">
        <f>COUNTIF($S$7:$T$54,"=" &amp; AB44 &amp; "_lose")</f>
        <v>0</v>
      </c>
      <c r="AF44" s="55">
        <f>SUMIF($E$7:$E$54,$AB44,$F$7:$F$54) + SUMIF($H$7:$H$54,$AB44,$G$7:$G$54)</f>
        <v>0</v>
      </c>
      <c r="AG44" s="55">
        <f>SUMIF($E$7:$E$54,$AB44,$G$7:$G$54) + SUMIF($H$7:$H$54,$AB44,$F$7:$F$54)</f>
        <v>0</v>
      </c>
      <c r="AH44" s="55">
        <f>(AF44-AG44)*100+AK44*10000+AF44</f>
        <v>0</v>
      </c>
      <c r="AI44" s="55">
        <f>AF44-AG44</f>
        <v>0</v>
      </c>
      <c r="AJ44" s="55">
        <f>(AI44-AI49)/AI48</f>
        <v>0</v>
      </c>
      <c r="AK44" s="55">
        <f>AC44*3+AD44</f>
        <v>0</v>
      </c>
      <c r="AL44" s="55">
        <f>AP44/AP48*1000+AQ44/AQ48*100+AT44/AT48*10+AR44/AR48</f>
        <v>0</v>
      </c>
      <c r="AM44" s="55">
        <f>VLOOKUP(AB44,db_fifarank,2,FALSE)/2000000</f>
        <v>6.625E-4</v>
      </c>
      <c r="AN44" s="54">
        <f>1000*AK44/AK48+100*AJ44+10*AF44/AF48+1*AL44/AL48+AM44</f>
        <v>6.625E-4</v>
      </c>
      <c r="AO44" s="53" t="str">
        <f>IF(SUM(AC44:AE47)=12,J45,INDEX(T,82,lang))</f>
        <v>1G</v>
      </c>
      <c r="AP44" s="52">
        <f>SUMPRODUCT(($S$7:$S$54=AB44&amp;"_win")*($U$7:$U$54))+SUMPRODUCT(($T$7:$T$54=AB44&amp;"_win")*($U$7:$U$54))</f>
        <v>0</v>
      </c>
      <c r="AQ44" s="51">
        <f>SUMPRODUCT(($S$7:$S$54=AB44&amp;"_draw")*($U$7:$U$54))+SUMPRODUCT(($T$7:$T$54=AB44&amp;"_draw")*($U$7:$U$54))</f>
        <v>0</v>
      </c>
      <c r="AR44" s="51">
        <f>SUMPRODUCT(($E$7:$E$54=AB44)*($U$7:$U$54)*($F$7:$F$54))+SUMPRODUCT(($H$7:$H$54=AB44)*($U$7:$U$54)*($G$7:$G$54))</f>
        <v>0</v>
      </c>
      <c r="AS44" s="51">
        <f>SUMPRODUCT(($E$7:$E$54=AB44)*($U$7:$U$54)*($G$7:$G$54))+SUMPRODUCT(($H$7:$H$54=AB44)*($U$7:$U$54)*($F$7:$F$54))</f>
        <v>0</v>
      </c>
      <c r="AT44" s="51">
        <f>AR44-AS44</f>
        <v>0</v>
      </c>
    </row>
    <row r="45" spans="1:72" ht="15" customHeight="1" x14ac:dyDescent="0.25">
      <c r="A45" s="94">
        <v>39</v>
      </c>
      <c r="B45" s="93" t="str">
        <f t="shared" si="0"/>
        <v>Tue</v>
      </c>
      <c r="C45" s="92" t="str">
        <f t="shared" si="1"/>
        <v>Jun 26, 2018</v>
      </c>
      <c r="D45" s="91">
        <f t="shared" si="2"/>
        <v>0.75</v>
      </c>
      <c r="E45" s="90" t="str">
        <f>AB29</f>
        <v>Nigeria</v>
      </c>
      <c r="F45" s="89"/>
      <c r="G45" s="88"/>
      <c r="H45" s="87" t="str">
        <f>AB26</f>
        <v>Argentina</v>
      </c>
      <c r="J45" s="97" t="str">
        <f>VLOOKUP(1,AA44:AK47,2,FALSE)</f>
        <v>Belgium</v>
      </c>
      <c r="K45" s="96">
        <f>L45+M45+N45</f>
        <v>0</v>
      </c>
      <c r="L45" s="96">
        <f>VLOOKUP(1,AA44:AK47,3,FALSE)</f>
        <v>0</v>
      </c>
      <c r="M45" s="96">
        <f>VLOOKUP(1,AA44:AK47,4,FALSE)</f>
        <v>0</v>
      </c>
      <c r="N45" s="96">
        <f>VLOOKUP(1,AA44:AK47,5,FALSE)</f>
        <v>0</v>
      </c>
      <c r="O45" s="96" t="str">
        <f>VLOOKUP(1,AA44:AK47,6,FALSE) &amp; " - " &amp; VLOOKUP(1,AA44:AK47,7,FALSE)</f>
        <v>0 - 0</v>
      </c>
      <c r="P45" s="95">
        <f>L45*3+M45</f>
        <v>0</v>
      </c>
      <c r="R45" s="55">
        <f>DATE(2018,6,26)+TIME(7,0,0)+gmt_delta</f>
        <v>43277.75</v>
      </c>
      <c r="S45" s="56" t="str">
        <f t="shared" si="3"/>
        <v/>
      </c>
      <c r="T45" s="56" t="str">
        <f t="shared" si="4"/>
        <v/>
      </c>
      <c r="U45" s="54">
        <f t="shared" si="5"/>
        <v>0</v>
      </c>
      <c r="V45" s="55">
        <f t="shared" si="6"/>
        <v>0</v>
      </c>
      <c r="W45" s="55">
        <f t="shared" si="7"/>
        <v>0</v>
      </c>
      <c r="X45" s="55">
        <f t="shared" si="8"/>
        <v>1</v>
      </c>
      <c r="Y45" s="55" t="str">
        <f t="shared" si="9"/>
        <v/>
      </c>
      <c r="AA45" s="55">
        <f>COUNTIF(AN44:AN47,CONCATENATE("&gt;=",AN45))</f>
        <v>4</v>
      </c>
      <c r="AB45" s="54" t="str">
        <f>VLOOKUP("Panama",T,lang,FALSE)</f>
        <v>Panama</v>
      </c>
      <c r="AC45" s="55">
        <f>COUNTIF($S$7:$T$54,"=" &amp; AB45 &amp; "_win")</f>
        <v>0</v>
      </c>
      <c r="AD45" s="55">
        <f>COUNTIF($S$7:$T$54,"=" &amp; AB45 &amp; "_draw")</f>
        <v>0</v>
      </c>
      <c r="AE45" s="55">
        <f>COUNTIF($S$7:$T$54,"=" &amp; AB45 &amp; "_lose")</f>
        <v>0</v>
      </c>
      <c r="AF45" s="55">
        <f>SUMIF($E$7:$E$54,$AB45,$F$7:$F$54) + SUMIF($H$7:$H$54,$AB45,$G$7:$G$54)</f>
        <v>0</v>
      </c>
      <c r="AG45" s="55">
        <f>SUMIF($E$7:$E$54,$AB45,$G$7:$G$54) + SUMIF($H$7:$H$54,$AB45,$F$7:$F$54)</f>
        <v>0</v>
      </c>
      <c r="AH45" s="55">
        <f>(AF45-AG45)*100+AK45*10000+AF45</f>
        <v>0</v>
      </c>
      <c r="AI45" s="55">
        <f>AF45-AG45</f>
        <v>0</v>
      </c>
      <c r="AJ45" s="55">
        <f>(AI45-AI49)/AI48</f>
        <v>0</v>
      </c>
      <c r="AK45" s="55">
        <f>AC45*3+AD45</f>
        <v>0</v>
      </c>
      <c r="AL45" s="55">
        <f>AP45/AP48*1000+AQ45/AQ48*100+AT45/AT48*10+AR45/AR48</f>
        <v>0</v>
      </c>
      <c r="AM45" s="55">
        <f>VLOOKUP(AB45,db_fifarank,2,FALSE)/2000000</f>
        <v>3.1050000000000001E-4</v>
      </c>
      <c r="AN45" s="54">
        <f>1000*AK45/AK48+100*AJ45+10*AF45/AF48+1*AL45/AL48+AM45</f>
        <v>3.1050000000000001E-4</v>
      </c>
      <c r="AO45" s="53" t="str">
        <f>IF(SUM(AC44:AE47)=12,J46,INDEX(T,83,lang))</f>
        <v>2G</v>
      </c>
      <c r="AP45" s="52">
        <f>SUMPRODUCT(($S$7:$S$54=AB45&amp;"_win")*($U$7:$U$54))+SUMPRODUCT(($T$7:$T$54=AB45&amp;"_win")*($U$7:$U$54))</f>
        <v>0</v>
      </c>
      <c r="AQ45" s="51">
        <f>SUMPRODUCT(($S$7:$S$54=AB45&amp;"_draw")*($U$7:$U$54))+SUMPRODUCT(($T$7:$T$54=AB45&amp;"_draw")*($U$7:$U$54))</f>
        <v>0</v>
      </c>
      <c r="AR45" s="51">
        <f>SUMPRODUCT(($E$7:$E$54=AB45)*($U$7:$U$54)*($F$7:$F$54))+SUMPRODUCT(($H$7:$H$54=AB45)*($U$7:$U$54)*($G$7:$G$54))</f>
        <v>0</v>
      </c>
      <c r="AS45" s="51">
        <f>SUMPRODUCT(($E$7:$E$54=AB45)*($U$7:$U$54)*($G$7:$G$54))+SUMPRODUCT(($H$7:$H$54=AB45)*($U$7:$U$54)*($F$7:$F$54))</f>
        <v>0</v>
      </c>
      <c r="AT45" s="51">
        <f>AR45-AS45</f>
        <v>0</v>
      </c>
    </row>
    <row r="46" spans="1:72" ht="15" customHeight="1" x14ac:dyDescent="0.25">
      <c r="A46" s="94">
        <v>40</v>
      </c>
      <c r="B46" s="93" t="str">
        <f t="shared" si="0"/>
        <v>Tue</v>
      </c>
      <c r="C46" s="92" t="str">
        <f t="shared" si="1"/>
        <v>Jun 26, 2018</v>
      </c>
      <c r="D46" s="91">
        <f t="shared" si="2"/>
        <v>0.75</v>
      </c>
      <c r="E46" s="90" t="str">
        <f>AB27</f>
        <v>Iceland</v>
      </c>
      <c r="F46" s="89"/>
      <c r="G46" s="88"/>
      <c r="H46" s="87" t="str">
        <f>AB28</f>
        <v>Croatia</v>
      </c>
      <c r="J46" s="86" t="str">
        <f>VLOOKUP(2,AA44:AK47,2,FALSE)</f>
        <v>England</v>
      </c>
      <c r="K46" s="85">
        <f>L46+M46+N46</f>
        <v>0</v>
      </c>
      <c r="L46" s="85">
        <f>VLOOKUP(2,AA44:AK47,3,FALSE)</f>
        <v>0</v>
      </c>
      <c r="M46" s="85">
        <f>VLOOKUP(2,AA44:AK47,4,FALSE)</f>
        <v>0</v>
      </c>
      <c r="N46" s="85">
        <f>VLOOKUP(2,AA44:AK47,5,FALSE)</f>
        <v>0</v>
      </c>
      <c r="O46" s="85" t="str">
        <f>VLOOKUP(2,AA44:AK47,6,FALSE) &amp; " - " &amp; VLOOKUP(2,AA44:AK47,7,FALSE)</f>
        <v>0 - 0</v>
      </c>
      <c r="P46" s="84">
        <f>L46*3+M46</f>
        <v>0</v>
      </c>
      <c r="R46" s="55">
        <f>DATE(2018,6,26)+TIME(7,0,0)+gmt_delta</f>
        <v>43277.75</v>
      </c>
      <c r="S46" s="56" t="str">
        <f t="shared" si="3"/>
        <v/>
      </c>
      <c r="T46" s="56" t="str">
        <f t="shared" si="4"/>
        <v/>
      </c>
      <c r="U46" s="54">
        <f t="shared" si="5"/>
        <v>0</v>
      </c>
      <c r="V46" s="55">
        <f t="shared" si="6"/>
        <v>0</v>
      </c>
      <c r="W46" s="55">
        <f t="shared" si="7"/>
        <v>0</v>
      </c>
      <c r="X46" s="55">
        <f t="shared" si="8"/>
        <v>0</v>
      </c>
      <c r="Y46" s="55" t="str">
        <f t="shared" si="9"/>
        <v/>
      </c>
      <c r="AA46" s="55">
        <f>COUNTIF(AN44:AN47,CONCATENATE("&gt;=",AN46))</f>
        <v>3</v>
      </c>
      <c r="AB46" s="54" t="str">
        <f>VLOOKUP("Tunisia",T,lang,FALSE)</f>
        <v>Tunisia</v>
      </c>
      <c r="AC46" s="55">
        <f>COUNTIF($S$7:$T$54,"=" &amp; AB46 &amp; "_win")</f>
        <v>0</v>
      </c>
      <c r="AD46" s="55">
        <f>COUNTIF($S$7:$T$54,"=" &amp; AB46 &amp; "_draw")</f>
        <v>0</v>
      </c>
      <c r="AE46" s="55">
        <f>COUNTIF($S$7:$T$54,"=" &amp; AB46 &amp; "_lose")</f>
        <v>0</v>
      </c>
      <c r="AF46" s="55">
        <f>SUMIF($E$7:$E$54,$AB46,$F$7:$F$54) + SUMIF($H$7:$H$54,$AB46,$G$7:$G$54)</f>
        <v>0</v>
      </c>
      <c r="AG46" s="55">
        <f>SUMIF($E$7:$E$54,$AB46,$G$7:$G$54) + SUMIF($H$7:$H$54,$AB46,$F$7:$F$54)</f>
        <v>0</v>
      </c>
      <c r="AH46" s="55">
        <f>(AF46-AG46)*100+AK46*10000+AF46</f>
        <v>0</v>
      </c>
      <c r="AI46" s="55">
        <f>AF46-AG46</f>
        <v>0</v>
      </c>
      <c r="AJ46" s="55">
        <f>(AI46-AI49)/AI48</f>
        <v>0</v>
      </c>
      <c r="AK46" s="55">
        <f>AC46*3+AD46</f>
        <v>0</v>
      </c>
      <c r="AL46" s="55">
        <f>AP46/AP48*1000+AQ46/AQ48*100+AT46/AT48*10+AR46/AR48</f>
        <v>0</v>
      </c>
      <c r="AM46" s="55">
        <f>VLOOKUP(AB46,db_fifarank,2,FALSE)/2000000</f>
        <v>4.1899999999999999E-4</v>
      </c>
      <c r="AN46" s="54">
        <f>1000*AK46/AK48+100*AJ46+10*AF46/AF48+1*AL46/AL48+AM46</f>
        <v>4.1899999999999999E-4</v>
      </c>
      <c r="AP46" s="52">
        <f>SUMPRODUCT(($S$7:$S$54=AB46&amp;"_win")*($U$7:$U$54))+SUMPRODUCT(($T$7:$T$54=AB46&amp;"_win")*($U$7:$U$54))</f>
        <v>0</v>
      </c>
      <c r="AQ46" s="51">
        <f>SUMPRODUCT(($S$7:$S$54=AB46&amp;"_draw")*($U$7:$U$54))+SUMPRODUCT(($T$7:$T$54=AB46&amp;"_draw")*($U$7:$U$54))</f>
        <v>0</v>
      </c>
      <c r="AR46" s="51">
        <f>SUMPRODUCT(($E$7:$E$54=AB46)*($U$7:$U$54)*($F$7:$F$54))+SUMPRODUCT(($H$7:$H$54=AB46)*($U$7:$U$54)*($G$7:$G$54))</f>
        <v>0</v>
      </c>
      <c r="AS46" s="51">
        <f>SUMPRODUCT(($E$7:$E$54=AB46)*($U$7:$U$54)*($G$7:$G$54))+SUMPRODUCT(($H$7:$H$54=AB46)*($U$7:$U$54)*($F$7:$F$54))</f>
        <v>0</v>
      </c>
      <c r="AT46" s="51">
        <f>AR46-AS46</f>
        <v>0</v>
      </c>
      <c r="AY46" s="304" t="s">
        <v>96</v>
      </c>
      <c r="AZ46" s="305"/>
      <c r="BA46" s="305"/>
      <c r="BB46" s="306"/>
    </row>
    <row r="47" spans="1:72" ht="15" customHeight="1" x14ac:dyDescent="0.25">
      <c r="A47" s="94">
        <v>41</v>
      </c>
      <c r="B47" s="93" t="str">
        <f t="shared" si="0"/>
        <v>Wed</v>
      </c>
      <c r="C47" s="92" t="str">
        <f t="shared" si="1"/>
        <v>Jun 27, 2018</v>
      </c>
      <c r="D47" s="91">
        <f t="shared" si="2"/>
        <v>0.75</v>
      </c>
      <c r="E47" s="90" t="str">
        <f>AB35</f>
        <v>Serbia</v>
      </c>
      <c r="F47" s="89"/>
      <c r="G47" s="88"/>
      <c r="H47" s="87" t="str">
        <f>AB32</f>
        <v>Brazil</v>
      </c>
      <c r="J47" s="86" t="str">
        <f>VLOOKUP(3,AA44:AK47,2,FALSE)</f>
        <v>Tunisia</v>
      </c>
      <c r="K47" s="85">
        <f>L47+M47+N47</f>
        <v>0</v>
      </c>
      <c r="L47" s="85">
        <f>VLOOKUP(3,AA44:AK47,3,FALSE)</f>
        <v>0</v>
      </c>
      <c r="M47" s="85">
        <f>VLOOKUP(3,AA44:AK47,4,FALSE)</f>
        <v>0</v>
      </c>
      <c r="N47" s="85">
        <f>VLOOKUP(3,AA44:AK47,5,FALSE)</f>
        <v>0</v>
      </c>
      <c r="O47" s="85" t="str">
        <f>VLOOKUP(3,AA44:AK47,6,FALSE) &amp; " - " &amp; VLOOKUP(3,AA44:AK47,7,FALSE)</f>
        <v>0 - 0</v>
      </c>
      <c r="P47" s="84">
        <f>L47*3+M47</f>
        <v>0</v>
      </c>
      <c r="R47" s="55">
        <f>DATE(2018,6,27)+TIME(7,0,0)+gmt_delta</f>
        <v>43278.75</v>
      </c>
      <c r="S47" s="56" t="str">
        <f t="shared" si="3"/>
        <v/>
      </c>
      <c r="T47" s="56" t="str">
        <f t="shared" si="4"/>
        <v/>
      </c>
      <c r="U47" s="54">
        <f t="shared" si="5"/>
        <v>0</v>
      </c>
      <c r="V47" s="55">
        <f t="shared" si="6"/>
        <v>0</v>
      </c>
      <c r="W47" s="55">
        <f t="shared" si="7"/>
        <v>0</v>
      </c>
      <c r="X47" s="55">
        <f t="shared" si="8"/>
        <v>0</v>
      </c>
      <c r="Y47" s="55" t="str">
        <f t="shared" si="9"/>
        <v/>
      </c>
      <c r="AA47" s="55">
        <f>COUNTIF(AN44:AN47,CONCATENATE("&gt;=",AN47))</f>
        <v>2</v>
      </c>
      <c r="AB47" s="54" t="str">
        <f>VLOOKUP("England",T,lang,FALSE)</f>
        <v>England</v>
      </c>
      <c r="AC47" s="55">
        <f>COUNTIF($S$7:$T$54,"=" &amp; AB47 &amp; "_win")</f>
        <v>0</v>
      </c>
      <c r="AD47" s="55">
        <f>COUNTIF($S$7:$T$54,"=" &amp; AB47 &amp; "_draw")</f>
        <v>0</v>
      </c>
      <c r="AE47" s="55">
        <f>COUNTIF($S$7:$T$54,"=" &amp; AB47 &amp; "_lose")</f>
        <v>0</v>
      </c>
      <c r="AF47" s="55">
        <f>SUMIF($E$7:$E$54,$AB47,$F$7:$F$54) + SUMIF($H$7:$H$54,$AB47,$G$7:$G$54)</f>
        <v>0</v>
      </c>
      <c r="AG47" s="55">
        <f>SUMIF($E$7:$E$54,$AB47,$G$7:$G$54) + SUMIF($H$7:$H$54,$AB47,$F$7:$F$54)</f>
        <v>0</v>
      </c>
      <c r="AH47" s="55">
        <f>(AF47-AG47)*100+AK47*10000+AF47</f>
        <v>0</v>
      </c>
      <c r="AI47" s="55">
        <f>AF47-AG47</f>
        <v>0</v>
      </c>
      <c r="AJ47" s="55">
        <f>(AI47-AI49)/AI48</f>
        <v>0</v>
      </c>
      <c r="AK47" s="55">
        <f>AC47*3+AD47</f>
        <v>0</v>
      </c>
      <c r="AL47" s="55">
        <f>AP47/AP48*1000+AQ47/AQ48*100+AT47/AT48*10+AR47/AR48</f>
        <v>0</v>
      </c>
      <c r="AM47" s="55">
        <f>VLOOKUP(AB47,db_fifarank,2,FALSE)/2000000</f>
        <v>5.2349999999999999E-4</v>
      </c>
      <c r="AN47" s="54">
        <f>1000*AK47/AK48+100*AJ47+10*AF47/AF48+1*AL47/AL48+AM47</f>
        <v>5.2349999999999999E-4</v>
      </c>
      <c r="AP47" s="52">
        <f>SUMPRODUCT(($S$7:$S$54=AB47&amp;"_win")*($U$7:$U$54))+SUMPRODUCT(($T$7:$T$54=AB47&amp;"_win")*($U$7:$U$54))</f>
        <v>0</v>
      </c>
      <c r="AQ47" s="51">
        <f>SUMPRODUCT(($S$7:$S$54=AB47&amp;"_draw")*($U$7:$U$54))+SUMPRODUCT(($T$7:$T$54=AB47&amp;"_draw")*($U$7:$U$54))</f>
        <v>0</v>
      </c>
      <c r="AR47" s="51">
        <f>SUMPRODUCT(($E$7:$E$54=AB47)*($U$7:$U$54)*($F$7:$F$54))+SUMPRODUCT(($H$7:$H$54=AB47)*($U$7:$U$54)*($G$7:$G$54))</f>
        <v>0</v>
      </c>
      <c r="AS47" s="51">
        <f>SUMPRODUCT(($E$7:$E$54=AB47)*($U$7:$U$54)*($G$7:$G$54))+SUMPRODUCT(($H$7:$H$54=AB47)*($U$7:$U$54)*($F$7:$F$54))</f>
        <v>0</v>
      </c>
      <c r="AT47" s="51">
        <f>AR47-AS47</f>
        <v>0</v>
      </c>
      <c r="AY47" s="307"/>
      <c r="AZ47" s="308"/>
      <c r="BA47" s="308"/>
      <c r="BB47" s="309"/>
    </row>
    <row r="48" spans="1:72" ht="15" customHeight="1" x14ac:dyDescent="0.25">
      <c r="A48" s="94">
        <v>42</v>
      </c>
      <c r="B48" s="93" t="str">
        <f t="shared" si="0"/>
        <v>Wed</v>
      </c>
      <c r="C48" s="92" t="str">
        <f t="shared" si="1"/>
        <v>Jun 27, 2018</v>
      </c>
      <c r="D48" s="91">
        <f t="shared" si="2"/>
        <v>0.75</v>
      </c>
      <c r="E48" s="90" t="str">
        <f>AB33</f>
        <v>Switzerland</v>
      </c>
      <c r="F48" s="89"/>
      <c r="G48" s="88"/>
      <c r="H48" s="87" t="str">
        <f>AB34</f>
        <v>Costa Rica</v>
      </c>
      <c r="J48" s="75" t="str">
        <f>VLOOKUP(4,AA44:AK47,2,FALSE)</f>
        <v>Panama</v>
      </c>
      <c r="K48" s="74">
        <f>L48+M48+N48</f>
        <v>0</v>
      </c>
      <c r="L48" s="74">
        <f>VLOOKUP(4,AA44:AK47,3,FALSE)</f>
        <v>0</v>
      </c>
      <c r="M48" s="74">
        <f>VLOOKUP(4,AA44:AK47,4,FALSE)</f>
        <v>0</v>
      </c>
      <c r="N48" s="74">
        <f>VLOOKUP(4,AA44:AK47,5,FALSE)</f>
        <v>0</v>
      </c>
      <c r="O48" s="74" t="str">
        <f>VLOOKUP(4,AA44:AK47,6,FALSE) &amp; " - " &amp; VLOOKUP(4,AA44:AK47,7,FALSE)</f>
        <v>0 - 0</v>
      </c>
      <c r="P48" s="73">
        <f>L48*3+M48</f>
        <v>0</v>
      </c>
      <c r="R48" s="55">
        <f>DATE(2018,6,27)+TIME(7,0,0)+gmt_delta</f>
        <v>43278.75</v>
      </c>
      <c r="S48" s="56" t="str">
        <f t="shared" si="3"/>
        <v/>
      </c>
      <c r="T48" s="56" t="str">
        <f t="shared" si="4"/>
        <v/>
      </c>
      <c r="U48" s="54">
        <f t="shared" si="5"/>
        <v>0</v>
      </c>
      <c r="V48" s="55">
        <f t="shared" si="6"/>
        <v>0</v>
      </c>
      <c r="W48" s="55">
        <f t="shared" si="7"/>
        <v>0</v>
      </c>
      <c r="X48" s="55">
        <f t="shared" si="8"/>
        <v>0</v>
      </c>
      <c r="Y48" s="55" t="str">
        <f t="shared" si="9"/>
        <v/>
      </c>
      <c r="AC48" s="55">
        <f>MAX(AC44:AC47)-MIN(AC44:AC47)+1</f>
        <v>1</v>
      </c>
      <c r="AD48" s="55">
        <f>MAX(AD44:AD47)-MIN(AD44:AD47)+1</f>
        <v>1</v>
      </c>
      <c r="AE48" s="55">
        <f>MAX(AE44:AE47)-MIN(AE44:AE47)+1</f>
        <v>1</v>
      </c>
      <c r="AF48" s="55">
        <f>MAX(AF44:AF47)-MIN(AF44:AF47)+1</f>
        <v>1</v>
      </c>
      <c r="AG48" s="55">
        <f>MAX(AG44:AG47)-MIN(AG44:AG47)+1</f>
        <v>1</v>
      </c>
      <c r="AH48" s="55">
        <f>MAX(AH44:AH47)-AH49+1</f>
        <v>1</v>
      </c>
      <c r="AI48" s="55">
        <f>MAX(AI44:AI47)-AI49+1</f>
        <v>1</v>
      </c>
      <c r="AK48" s="55">
        <f>MAX(AK44:AK47)-MIN(AK44:AK47)+1</f>
        <v>1</v>
      </c>
      <c r="AL48" s="55">
        <f>MAX(AL44:AL47)-MIN(AL44:AL47)+1</f>
        <v>1</v>
      </c>
      <c r="AP48" s="55">
        <f>MAX(AP44:AP47)-MIN(AP44:AP47)+1</f>
        <v>1</v>
      </c>
      <c r="AQ48" s="55">
        <f>MAX(AQ44:AQ47)-MIN(AQ44:AQ47)+1</f>
        <v>1</v>
      </c>
      <c r="AR48" s="55">
        <f>MAX(AR44:AR47)-MIN(AR44:AR47)+1</f>
        <v>1</v>
      </c>
      <c r="AS48" s="55">
        <f>MAX(AS44:AS47)-MIN(AS44:AS47)+1</f>
        <v>1</v>
      </c>
      <c r="AT48" s="55">
        <f>MAX(AT44:AT47)-MIN(AT44:AT47)+1</f>
        <v>1</v>
      </c>
      <c r="AY48" s="307"/>
      <c r="AZ48" s="308"/>
      <c r="BA48" s="308"/>
      <c r="BB48" s="309"/>
    </row>
    <row r="49" spans="1:54" ht="15" customHeight="1" x14ac:dyDescent="0.25">
      <c r="A49" s="94">
        <v>43</v>
      </c>
      <c r="B49" s="93" t="str">
        <f t="shared" si="0"/>
        <v>Wed</v>
      </c>
      <c r="C49" s="92" t="str">
        <f t="shared" si="1"/>
        <v>Jun 27, 2018</v>
      </c>
      <c r="D49" s="91">
        <f t="shared" si="2"/>
        <v>0.58333333333333337</v>
      </c>
      <c r="E49" s="90" t="str">
        <f>AB41</f>
        <v>Korea Republic</v>
      </c>
      <c r="F49" s="89"/>
      <c r="G49" s="88"/>
      <c r="H49" s="87" t="str">
        <f>AB38</f>
        <v>Germany</v>
      </c>
      <c r="R49" s="55">
        <f>DATE(2018,6,27)+TIME(3,0,0)+gmt_delta</f>
        <v>43278.583333333336</v>
      </c>
      <c r="S49" s="56" t="str">
        <f t="shared" si="3"/>
        <v/>
      </c>
      <c r="T49" s="56" t="str">
        <f t="shared" si="4"/>
        <v/>
      </c>
      <c r="U49" s="54">
        <f t="shared" si="5"/>
        <v>0</v>
      </c>
      <c r="V49" s="55">
        <f t="shared" si="6"/>
        <v>0</v>
      </c>
      <c r="W49" s="55">
        <f t="shared" si="7"/>
        <v>0</v>
      </c>
      <c r="X49" s="55">
        <f t="shared" si="8"/>
        <v>0</v>
      </c>
      <c r="Y49" s="55" t="str">
        <f t="shared" si="9"/>
        <v/>
      </c>
      <c r="AH49" s="55">
        <f>MIN(AH44:AH47)</f>
        <v>0</v>
      </c>
      <c r="AI49" s="55">
        <f>MIN(AI44:AI47)</f>
        <v>0</v>
      </c>
      <c r="AY49" s="307"/>
      <c r="AZ49" s="308"/>
      <c r="BA49" s="308"/>
      <c r="BB49" s="309"/>
    </row>
    <row r="50" spans="1:54" ht="15" customHeight="1" x14ac:dyDescent="0.25">
      <c r="A50" s="94">
        <v>44</v>
      </c>
      <c r="B50" s="93" t="str">
        <f t="shared" si="0"/>
        <v>Wed</v>
      </c>
      <c r="C50" s="92" t="str">
        <f t="shared" si="1"/>
        <v>Jun 27, 2018</v>
      </c>
      <c r="D50" s="91">
        <f t="shared" si="2"/>
        <v>0.58333333333333337</v>
      </c>
      <c r="E50" s="90" t="str">
        <f>AB39</f>
        <v>Mexico</v>
      </c>
      <c r="F50" s="89"/>
      <c r="G50" s="88"/>
      <c r="H50" s="87" t="str">
        <f>AB40</f>
        <v>Sweden</v>
      </c>
      <c r="J50" s="100" t="str">
        <f>INDEX(T,9,lang) &amp; " " &amp; "H"</f>
        <v>Group H</v>
      </c>
      <c r="K50" s="99" t="str">
        <f>INDEX(T,10,lang)</f>
        <v>PL</v>
      </c>
      <c r="L50" s="99" t="str">
        <f>INDEX(T,11,lang)</f>
        <v>W</v>
      </c>
      <c r="M50" s="99" t="str">
        <f>INDEX(T,12,lang)</f>
        <v>DRAW</v>
      </c>
      <c r="N50" s="99" t="str">
        <f>INDEX(T,13,lang)</f>
        <v>L</v>
      </c>
      <c r="O50" s="99" t="str">
        <f>INDEX(T,14,lang)</f>
        <v>GF - GA</v>
      </c>
      <c r="P50" s="98" t="str">
        <f>INDEX(T,15,lang)</f>
        <v>PNT</v>
      </c>
      <c r="R50" s="55">
        <f>DATE(2018,6,27)+TIME(3,0,0)+gmt_delta</f>
        <v>43278.583333333336</v>
      </c>
      <c r="S50" s="56" t="str">
        <f t="shared" si="3"/>
        <v/>
      </c>
      <c r="T50" s="56" t="str">
        <f t="shared" si="4"/>
        <v/>
      </c>
      <c r="U50" s="54">
        <f t="shared" si="5"/>
        <v>0</v>
      </c>
      <c r="V50" s="55">
        <f t="shared" si="6"/>
        <v>0</v>
      </c>
      <c r="W50" s="55">
        <f t="shared" si="7"/>
        <v>0</v>
      </c>
      <c r="X50" s="55">
        <f t="shared" si="8"/>
        <v>0</v>
      </c>
      <c r="Y50" s="55" t="str">
        <f t="shared" si="9"/>
        <v/>
      </c>
      <c r="AA50" s="55">
        <f>COUNTIF(AN50:AN53,CONCATENATE("&gt;=",AN50))</f>
        <v>1</v>
      </c>
      <c r="AB50" s="54" t="str">
        <f>VLOOKUP("Poland",T,lang,FALSE)</f>
        <v>Poland</v>
      </c>
      <c r="AC50" s="55">
        <f>COUNTIF($S$7:$T$54,"=" &amp; AB50 &amp; "_win")</f>
        <v>0</v>
      </c>
      <c r="AD50" s="55">
        <f>COUNTIF($S$7:$T$54,"=" &amp; AB50 &amp; "_draw")</f>
        <v>0</v>
      </c>
      <c r="AE50" s="55">
        <f>COUNTIF($S$7:$T$54,"=" &amp; AB50 &amp; "_lose")</f>
        <v>0</v>
      </c>
      <c r="AF50" s="55">
        <f>SUMIF($E$7:$E$54,$AB50,$F$7:$F$54) + SUMIF($H$7:$H$54,$AB50,$G$7:$G$54)</f>
        <v>0</v>
      </c>
      <c r="AG50" s="55">
        <f>SUMIF($E$7:$E$54,$AB50,$G$7:$G$54) + SUMIF($H$7:$H$54,$AB50,$F$7:$F$54)</f>
        <v>0</v>
      </c>
      <c r="AH50" s="55">
        <f>(AF50-AG50)*100+AK50*10000+AF50</f>
        <v>0</v>
      </c>
      <c r="AI50" s="55">
        <f>AF50-AG50</f>
        <v>0</v>
      </c>
      <c r="AJ50" s="55">
        <f>(AI50-AI55)/AI54</f>
        <v>0</v>
      </c>
      <c r="AK50" s="55">
        <f>AC50*3+AD50</f>
        <v>0</v>
      </c>
      <c r="AL50" s="55">
        <f>AP50/AP54*1000+AQ50/AQ54*100+AT50/AT54*10+AR50/AR54</f>
        <v>0</v>
      </c>
      <c r="AM50" s="55">
        <f>VLOOKUP(AB50,db_fifarank,2,FALSE)/2000000</f>
        <v>6.045E-4</v>
      </c>
      <c r="AN50" s="54">
        <f>1000*AK50/AK54+100*AJ50+10*AF50/AF54+1*AL50/AL54+AM50</f>
        <v>6.045E-4</v>
      </c>
      <c r="AO50" s="53" t="str">
        <f>IF(SUM(AC50:AE53)=12,J51,INDEX(T,84,lang))</f>
        <v>1H</v>
      </c>
      <c r="AP50" s="52">
        <f>SUMPRODUCT(($S$7:$S$54=AB50&amp;"_win")*($U$7:$U$54))+SUMPRODUCT(($T$7:$T$54=AB50&amp;"_win")*($U$7:$U$54))</f>
        <v>0</v>
      </c>
      <c r="AQ50" s="51">
        <f>SUMPRODUCT(($S$7:$S$54=AB50&amp;"_draw")*($U$7:$U$54))+SUMPRODUCT(($T$7:$T$54=AB50&amp;"_draw")*($U$7:$U$54))</f>
        <v>0</v>
      </c>
      <c r="AR50" s="51">
        <f>SUMPRODUCT(($E$7:$E$54=AB50)*($U$7:$U$54)*($F$7:$F$54))+SUMPRODUCT(($H$7:$H$54=AB50)*($U$7:$U$54)*($G$7:$G$54))</f>
        <v>0</v>
      </c>
      <c r="AS50" s="51">
        <f>SUMPRODUCT(($E$7:$E$54=AB50)*($U$7:$U$54)*($G$7:$G$54))+SUMPRODUCT(($H$7:$H$54=AB50)*($U$7:$U$54)*($F$7:$F$54))</f>
        <v>0</v>
      </c>
      <c r="AT50" s="51">
        <f>AR50-AS50</f>
        <v>0</v>
      </c>
      <c r="AY50" s="307"/>
      <c r="AZ50" s="308"/>
      <c r="BA50" s="308"/>
      <c r="BB50" s="309"/>
    </row>
    <row r="51" spans="1:54" ht="15" customHeight="1" x14ac:dyDescent="0.25">
      <c r="A51" s="94">
        <v>45</v>
      </c>
      <c r="B51" s="93" t="str">
        <f t="shared" si="0"/>
        <v>Thu</v>
      </c>
      <c r="C51" s="92" t="str">
        <f t="shared" si="1"/>
        <v>Jun 28, 2018</v>
      </c>
      <c r="D51" s="91">
        <f t="shared" si="2"/>
        <v>0.75</v>
      </c>
      <c r="E51" s="90" t="str">
        <f>AB47</f>
        <v>England</v>
      </c>
      <c r="F51" s="89"/>
      <c r="G51" s="88"/>
      <c r="H51" s="87" t="str">
        <f>AB44</f>
        <v>Belgium</v>
      </c>
      <c r="J51" s="97" t="str">
        <f>VLOOKUP(1,AA50:AK53,2,FALSE)</f>
        <v>Poland</v>
      </c>
      <c r="K51" s="96">
        <f>L51+M51+N51</f>
        <v>0</v>
      </c>
      <c r="L51" s="96">
        <f>VLOOKUP(1,AA50:AK53,3,FALSE)</f>
        <v>0</v>
      </c>
      <c r="M51" s="96">
        <f>VLOOKUP(1,AA50:AK53,4,FALSE)</f>
        <v>0</v>
      </c>
      <c r="N51" s="96">
        <f>VLOOKUP(1,AA50:AK53,5,FALSE)</f>
        <v>0</v>
      </c>
      <c r="O51" s="96" t="str">
        <f>VLOOKUP(1,AA50:AK53,6,FALSE) &amp; " - " &amp; VLOOKUP(1,AA50:AK53,7,FALSE)</f>
        <v>0 - 0</v>
      </c>
      <c r="P51" s="95">
        <f>L51*3+M51</f>
        <v>0</v>
      </c>
      <c r="R51" s="55">
        <f>DATE(2018,6,28)+TIME(7,0,0)+gmt_delta</f>
        <v>43279.75</v>
      </c>
      <c r="S51" s="56" t="str">
        <f t="shared" si="3"/>
        <v/>
      </c>
      <c r="T51" s="56" t="str">
        <f t="shared" si="4"/>
        <v/>
      </c>
      <c r="U51" s="54">
        <f t="shared" si="5"/>
        <v>0</v>
      </c>
      <c r="V51" s="55">
        <f t="shared" si="6"/>
        <v>0</v>
      </c>
      <c r="W51" s="55">
        <f t="shared" si="7"/>
        <v>0</v>
      </c>
      <c r="X51" s="55">
        <f t="shared" si="8"/>
        <v>0</v>
      </c>
      <c r="Y51" s="55" t="str">
        <f t="shared" si="9"/>
        <v/>
      </c>
      <c r="AA51" s="55">
        <f>COUNTIF(AN50:AN53,CONCATENATE("&gt;=",AN51))</f>
        <v>3</v>
      </c>
      <c r="AB51" s="54" t="str">
        <f>VLOOKUP("Senegal",T,lang,FALSE)</f>
        <v>Senegal</v>
      </c>
      <c r="AC51" s="55">
        <f>COUNTIF($S$7:$T$54,"=" &amp; AB51 &amp; "_win")</f>
        <v>0</v>
      </c>
      <c r="AD51" s="55">
        <f>COUNTIF($S$7:$T$54,"=" &amp; AB51 &amp; "_draw")</f>
        <v>0</v>
      </c>
      <c r="AE51" s="55">
        <f>COUNTIF($S$7:$T$54,"=" &amp; AB51 &amp; "_lose")</f>
        <v>0</v>
      </c>
      <c r="AF51" s="55">
        <f>SUMIF($E$7:$E$54,$AB51,$F$7:$F$54) + SUMIF($H$7:$H$54,$AB51,$G$7:$G$54)</f>
        <v>0</v>
      </c>
      <c r="AG51" s="55">
        <f>SUMIF($E$7:$E$54,$AB51,$G$7:$G$54) + SUMIF($H$7:$H$54,$AB51,$F$7:$F$54)</f>
        <v>0</v>
      </c>
      <c r="AH51" s="55">
        <f>(AF51-AG51)*100+AK51*10000+AF51</f>
        <v>0</v>
      </c>
      <c r="AI51" s="55">
        <f>AF51-AG51</f>
        <v>0</v>
      </c>
      <c r="AJ51" s="55">
        <f>(AI51-AI55)/AI54</f>
        <v>0</v>
      </c>
      <c r="AK51" s="55">
        <f>AC51*3+AD51</f>
        <v>0</v>
      </c>
      <c r="AL51" s="55">
        <f>AP51/AP54*1000+AQ51/AQ54*100+AT51/AT54*10+AR51/AR54</f>
        <v>0</v>
      </c>
      <c r="AM51" s="55">
        <f>VLOOKUP(AB51,db_fifarank,2,FALSE)/2000000</f>
        <v>4.4200000000000001E-4</v>
      </c>
      <c r="AN51" s="54">
        <f>1000*AK51/AK54+100*AJ51+10*AF51/AF54+1*AL51/AL54+AM51</f>
        <v>4.4200000000000001E-4</v>
      </c>
      <c r="AO51" s="53" t="str">
        <f>IF(SUM(AC50:AE53)=12,J52,INDEX(T,85,lang))</f>
        <v>2H</v>
      </c>
      <c r="AP51" s="52">
        <f>SUMPRODUCT(($S$7:$S$54=AB51&amp;"_win")*($U$7:$U$54))+SUMPRODUCT(($T$7:$T$54=AB51&amp;"_win")*($U$7:$U$54))</f>
        <v>0</v>
      </c>
      <c r="AQ51" s="51">
        <f>SUMPRODUCT(($S$7:$S$54=AB51&amp;"_draw")*($U$7:$U$54))+SUMPRODUCT(($T$7:$T$54=AB51&amp;"_draw")*($U$7:$U$54))</f>
        <v>0</v>
      </c>
      <c r="AR51" s="51">
        <f>SUMPRODUCT(($E$7:$E$54=AB51)*($U$7:$U$54)*($F$7:$F$54))+SUMPRODUCT(($H$7:$H$54=AB51)*($U$7:$U$54)*($G$7:$G$54))</f>
        <v>0</v>
      </c>
      <c r="AS51" s="51">
        <f>SUMPRODUCT(($E$7:$E$54=AB51)*($U$7:$U$54)*($G$7:$G$54))+SUMPRODUCT(($H$7:$H$54=AB51)*($U$7:$U$54)*($F$7:$F$54))</f>
        <v>0</v>
      </c>
      <c r="AT51" s="51">
        <f>AR51-AS51</f>
        <v>0</v>
      </c>
      <c r="AY51" s="307"/>
      <c r="AZ51" s="308"/>
      <c r="BA51" s="308"/>
      <c r="BB51" s="309"/>
    </row>
    <row r="52" spans="1:54" ht="15" customHeight="1" x14ac:dyDescent="0.25">
      <c r="A52" s="94">
        <v>46</v>
      </c>
      <c r="B52" s="93" t="str">
        <f t="shared" si="0"/>
        <v>Thu</v>
      </c>
      <c r="C52" s="92" t="str">
        <f t="shared" si="1"/>
        <v>Jun 28, 2018</v>
      </c>
      <c r="D52" s="91">
        <f t="shared" si="2"/>
        <v>0.75</v>
      </c>
      <c r="E52" s="90" t="str">
        <f>AB45</f>
        <v>Panama</v>
      </c>
      <c r="F52" s="89"/>
      <c r="G52" s="88"/>
      <c r="H52" s="87" t="str">
        <f>AB46</f>
        <v>Tunisia</v>
      </c>
      <c r="J52" s="86" t="str">
        <f>VLOOKUP(2,AA50:AK53,2,FALSE)</f>
        <v>Colombia</v>
      </c>
      <c r="K52" s="85">
        <f>L52+M52+N52</f>
        <v>0</v>
      </c>
      <c r="L52" s="85">
        <f>VLOOKUP(2,AA50:AK53,3,FALSE)</f>
        <v>0</v>
      </c>
      <c r="M52" s="85">
        <f>VLOOKUP(2,AA50:AK53,4,FALSE)</f>
        <v>0</v>
      </c>
      <c r="N52" s="85">
        <f>VLOOKUP(2,AA50:AK53,5,FALSE)</f>
        <v>0</v>
      </c>
      <c r="O52" s="85" t="str">
        <f>VLOOKUP(2,AA50:AK53,6,FALSE) &amp; " - " &amp; VLOOKUP(2,AA50:AK53,7,FALSE)</f>
        <v>0 - 0</v>
      </c>
      <c r="P52" s="84">
        <f>L52*3+M52</f>
        <v>0</v>
      </c>
      <c r="R52" s="55">
        <f>DATE(2018,6,28)+TIME(7,0,0)+gmt_delta</f>
        <v>43279.75</v>
      </c>
      <c r="S52" s="56" t="str">
        <f t="shared" si="3"/>
        <v/>
      </c>
      <c r="T52" s="56" t="str">
        <f t="shared" si="4"/>
        <v/>
      </c>
      <c r="U52" s="54">
        <f t="shared" si="5"/>
        <v>0</v>
      </c>
      <c r="V52" s="55">
        <f t="shared" si="6"/>
        <v>0</v>
      </c>
      <c r="W52" s="55">
        <f t="shared" si="7"/>
        <v>0</v>
      </c>
      <c r="X52" s="55">
        <f t="shared" si="8"/>
        <v>0</v>
      </c>
      <c r="Y52" s="55" t="str">
        <f t="shared" si="9"/>
        <v/>
      </c>
      <c r="AA52" s="55">
        <f>COUNTIF(AN50:AN53,CONCATENATE("&gt;=",AN52))</f>
        <v>2</v>
      </c>
      <c r="AB52" s="54" t="str">
        <f>VLOOKUP("Colombia",T,lang,FALSE)</f>
        <v>Colombia</v>
      </c>
      <c r="AC52" s="55">
        <f>COUNTIF($S$7:$T$54,"=" &amp; AB52 &amp; "_win")</f>
        <v>0</v>
      </c>
      <c r="AD52" s="55">
        <f>COUNTIF($S$7:$T$54,"=" &amp; AB52 &amp; "_draw")</f>
        <v>0</v>
      </c>
      <c r="AE52" s="55">
        <f>COUNTIF($S$7:$T$54,"=" &amp; AB52 &amp; "_lose")</f>
        <v>0</v>
      </c>
      <c r="AF52" s="55">
        <f>SUMIF($E$7:$E$54,$AB52,$F$7:$F$54) + SUMIF($H$7:$H$54,$AB52,$G$7:$G$54)</f>
        <v>0</v>
      </c>
      <c r="AG52" s="55">
        <f>SUMIF($E$7:$E$54,$AB52,$G$7:$G$54) + SUMIF($H$7:$H$54,$AB52,$F$7:$F$54)</f>
        <v>0</v>
      </c>
      <c r="AH52" s="55">
        <f>(AF52-AG52)*100+AK52*10000+AF52</f>
        <v>0</v>
      </c>
      <c r="AI52" s="55">
        <f>AF52-AG52</f>
        <v>0</v>
      </c>
      <c r="AJ52" s="55">
        <f>(AI52-AI55)/AI54</f>
        <v>0</v>
      </c>
      <c r="AK52" s="55">
        <f>AC52*3+AD52</f>
        <v>0</v>
      </c>
      <c r="AL52" s="55">
        <f>AP52/AP54*1000+AQ52/AQ54*100+AT52/AT54*10+AR52/AR54</f>
        <v>0</v>
      </c>
      <c r="AM52" s="55">
        <f>VLOOKUP(AB52,db_fifarank,2,FALSE)/2000000</f>
        <v>5.3899999999999998E-4</v>
      </c>
      <c r="AN52" s="54">
        <f>1000*AK52/AK54+100*AJ52+10*AF52/AF54+1*AL52/AL54+AM52</f>
        <v>5.3899999999999998E-4</v>
      </c>
      <c r="AP52" s="52">
        <f>SUMPRODUCT(($S$7:$S$54=AB52&amp;"_win")*($U$7:$U$54))+SUMPRODUCT(($T$7:$T$54=AB52&amp;"_win")*($U$7:$U$54))</f>
        <v>0</v>
      </c>
      <c r="AQ52" s="51">
        <f>SUMPRODUCT(($S$7:$S$54=AB52&amp;"_draw")*($U$7:$U$54))+SUMPRODUCT(($T$7:$T$54=AB52&amp;"_draw")*($U$7:$U$54))</f>
        <v>0</v>
      </c>
      <c r="AR52" s="51">
        <f>SUMPRODUCT(($E$7:$E$54=AB52)*($U$7:$U$54)*($F$7:$F$54))+SUMPRODUCT(($H$7:$H$54=AB52)*($U$7:$U$54)*($G$7:$G$54))</f>
        <v>0</v>
      </c>
      <c r="AS52" s="51">
        <f>SUMPRODUCT(($E$7:$E$54=AB52)*($U$7:$U$54)*($G$7:$G$54))+SUMPRODUCT(($H$7:$H$54=AB52)*($U$7:$U$54)*($F$7:$F$54))</f>
        <v>0</v>
      </c>
      <c r="AT52" s="51">
        <f>AR52-AS52</f>
        <v>0</v>
      </c>
      <c r="AY52" s="310"/>
      <c r="AZ52" s="311"/>
      <c r="BA52" s="311"/>
      <c r="BB52" s="312"/>
    </row>
    <row r="53" spans="1:54" ht="15" customHeight="1" x14ac:dyDescent="0.25">
      <c r="A53" s="94">
        <v>47</v>
      </c>
      <c r="B53" s="93" t="str">
        <f t="shared" si="0"/>
        <v>Thu</v>
      </c>
      <c r="C53" s="92" t="str">
        <f t="shared" si="1"/>
        <v>Jun 28, 2018</v>
      </c>
      <c r="D53" s="91">
        <f t="shared" si="2"/>
        <v>0.58333333333333337</v>
      </c>
      <c r="E53" s="90" t="str">
        <f>AB53</f>
        <v>Japan</v>
      </c>
      <c r="F53" s="89"/>
      <c r="G53" s="88"/>
      <c r="H53" s="87" t="str">
        <f>AB50</f>
        <v>Poland</v>
      </c>
      <c r="J53" s="86" t="str">
        <f>VLOOKUP(3,AA50:AK53,2,FALSE)</f>
        <v>Senegal</v>
      </c>
      <c r="K53" s="85">
        <f>L53+M53+N53</f>
        <v>0</v>
      </c>
      <c r="L53" s="85">
        <f>VLOOKUP(3,AA50:AK53,3,FALSE)</f>
        <v>0</v>
      </c>
      <c r="M53" s="85">
        <f>VLOOKUP(3,AA50:AK53,4,FALSE)</f>
        <v>0</v>
      </c>
      <c r="N53" s="85">
        <f>VLOOKUP(3,AA50:AK53,5,FALSE)</f>
        <v>0</v>
      </c>
      <c r="O53" s="85" t="str">
        <f>VLOOKUP(3,AA50:AK53,6,FALSE) &amp; " - " &amp; VLOOKUP(3,AA50:AK53,7,FALSE)</f>
        <v>0 - 0</v>
      </c>
      <c r="P53" s="84">
        <f>L53*3+M53</f>
        <v>0</v>
      </c>
      <c r="R53" s="55">
        <f>DATE(2018,6,28)+TIME(3,0,0)+gmt_delta</f>
        <v>43279.583333333336</v>
      </c>
      <c r="S53" s="56" t="str">
        <f t="shared" si="3"/>
        <v/>
      </c>
      <c r="T53" s="56" t="str">
        <f t="shared" si="4"/>
        <v/>
      </c>
      <c r="U53" s="54">
        <f t="shared" si="5"/>
        <v>0</v>
      </c>
      <c r="V53" s="55">
        <f t="shared" si="6"/>
        <v>0</v>
      </c>
      <c r="W53" s="55">
        <f t="shared" si="7"/>
        <v>0</v>
      </c>
      <c r="X53" s="55">
        <f t="shared" si="8"/>
        <v>0</v>
      </c>
      <c r="Y53" s="55" t="str">
        <f t="shared" si="9"/>
        <v/>
      </c>
      <c r="AA53" s="55">
        <f>COUNTIF(AN50:AN53,CONCATENATE("&gt;=",AN53))</f>
        <v>4</v>
      </c>
      <c r="AB53" s="54" t="str">
        <f>VLOOKUP("Japan",T,lang,FALSE)</f>
        <v>Japan</v>
      </c>
      <c r="AC53" s="55">
        <f>COUNTIF($S$7:$T$54,"=" &amp; AB53 &amp; "_win")</f>
        <v>0</v>
      </c>
      <c r="AD53" s="55">
        <f>COUNTIF($S$7:$T$54,"=" &amp; AB53 &amp; "_draw")</f>
        <v>0</v>
      </c>
      <c r="AE53" s="55">
        <f>COUNTIF($S$7:$T$54,"=" &amp; AB53 &amp; "_lose")</f>
        <v>0</v>
      </c>
      <c r="AF53" s="55">
        <f>SUMIF($E$7:$E$54,$AB53,$F$7:$F$54) + SUMIF($H$7:$H$54,$AB53,$G$7:$G$54)</f>
        <v>0</v>
      </c>
      <c r="AG53" s="55">
        <f>SUMIF($E$7:$E$54,$AB53,$G$7:$G$54) + SUMIF($H$7:$H$54,$AB53,$F$7:$F$54)</f>
        <v>0</v>
      </c>
      <c r="AH53" s="55">
        <f>(AF53-AG53)*100+AK53*10000+AF53</f>
        <v>0</v>
      </c>
      <c r="AI53" s="55">
        <f>AF53-AG53</f>
        <v>0</v>
      </c>
      <c r="AJ53" s="55">
        <f>(AI53-AI55)/AI54</f>
        <v>0</v>
      </c>
      <c r="AK53" s="55">
        <f>AC53*3+AD53</f>
        <v>0</v>
      </c>
      <c r="AL53" s="55">
        <f>AP53/AP54*1000+AQ53/AQ54*100+AT53/AT54*10+AR53/AR54</f>
        <v>0</v>
      </c>
      <c r="AM53" s="55">
        <f>VLOOKUP(AB53,db_fifarank,2,FALSE)/2000000</f>
        <v>2.9999999999999997E-4</v>
      </c>
      <c r="AN53" s="54">
        <f>1000*AK53/AK54+100*AJ53+10*AF53/AF54+1*AL53/AL54+AM53</f>
        <v>2.9999999999999997E-4</v>
      </c>
      <c r="AP53" s="52">
        <f>SUMPRODUCT(($S$7:$S$54=AB53&amp;"_win")*($U$7:$U$54))+SUMPRODUCT(($T$7:$T$54=AB53&amp;"_win")*($U$7:$U$54))</f>
        <v>0</v>
      </c>
      <c r="AQ53" s="51">
        <f>SUMPRODUCT(($S$7:$S$54=AB53&amp;"_draw")*($U$7:$U$54))+SUMPRODUCT(($T$7:$T$54=AB53&amp;"_draw")*($U$7:$U$54))</f>
        <v>0</v>
      </c>
      <c r="AR53" s="51">
        <f>SUMPRODUCT(($E$7:$E$54=AB53)*($U$7:$U$54)*($F$7:$F$54))+SUMPRODUCT(($H$7:$H$54=AB53)*($U$7:$U$54)*($G$7:$G$54))</f>
        <v>0</v>
      </c>
      <c r="AS53" s="51">
        <f>SUMPRODUCT(($E$7:$E$54=AB53)*($U$7:$U$54)*($G$7:$G$54))+SUMPRODUCT(($H$7:$H$54=AB53)*($U$7:$U$54)*($F$7:$F$54))</f>
        <v>0</v>
      </c>
      <c r="AT53" s="51">
        <f>AR53-AS53</f>
        <v>0</v>
      </c>
    </row>
    <row r="54" spans="1:54" ht="15" customHeight="1" x14ac:dyDescent="0.25">
      <c r="A54" s="83">
        <v>48</v>
      </c>
      <c r="B54" s="82" t="str">
        <f t="shared" si="0"/>
        <v>Thu</v>
      </c>
      <c r="C54" s="81" t="str">
        <f t="shared" si="1"/>
        <v>Jun 28, 2018</v>
      </c>
      <c r="D54" s="80">
        <f t="shared" si="2"/>
        <v>0.58333333333333337</v>
      </c>
      <c r="E54" s="79" t="str">
        <f>AB51</f>
        <v>Senegal</v>
      </c>
      <c r="F54" s="78"/>
      <c r="G54" s="77"/>
      <c r="H54" s="76" t="str">
        <f>AB52</f>
        <v>Colombia</v>
      </c>
      <c r="J54" s="75" t="str">
        <f>VLOOKUP(4,AA50:AK53,2,FALSE)</f>
        <v>Japan</v>
      </c>
      <c r="K54" s="74">
        <f>L54+M54+N54</f>
        <v>0</v>
      </c>
      <c r="L54" s="74">
        <f>VLOOKUP(4,AA50:AK53,3,FALSE)</f>
        <v>0</v>
      </c>
      <c r="M54" s="74">
        <f>VLOOKUP(4,AA50:AK53,4,FALSE)</f>
        <v>0</v>
      </c>
      <c r="N54" s="74">
        <f>VLOOKUP(4,AA50:AK53,5,FALSE)</f>
        <v>0</v>
      </c>
      <c r="O54" s="74" t="str">
        <f>VLOOKUP(4,AA50:AK53,6,FALSE) &amp; " - " &amp; VLOOKUP(4,AA50:AK53,7,FALSE)</f>
        <v>0 - 0</v>
      </c>
      <c r="P54" s="73">
        <f>L54*3+M54</f>
        <v>0</v>
      </c>
      <c r="R54" s="55">
        <f>DATE(2018,6,28)+TIME(3,0,0)+gmt_delta</f>
        <v>43279.583333333336</v>
      </c>
      <c r="S54" s="56" t="str">
        <f t="shared" si="3"/>
        <v/>
      </c>
      <c r="T54" s="56" t="str">
        <f t="shared" si="4"/>
        <v/>
      </c>
      <c r="U54" s="54">
        <f t="shared" si="5"/>
        <v>0</v>
      </c>
      <c r="V54" s="55">
        <f t="shared" si="6"/>
        <v>0</v>
      </c>
      <c r="W54" s="55">
        <f t="shared" si="7"/>
        <v>0</v>
      </c>
      <c r="X54" s="55">
        <f t="shared" si="8"/>
        <v>0</v>
      </c>
      <c r="Y54" s="55" t="str">
        <f t="shared" si="9"/>
        <v/>
      </c>
      <c r="AC54" s="55">
        <f>MAX(AC50:AC53)-MIN(AC50:AC53)+1</f>
        <v>1</v>
      </c>
      <c r="AD54" s="55">
        <f>MAX(AD50:AD53)-MIN(AD50:AD53)+1</f>
        <v>1</v>
      </c>
      <c r="AE54" s="55">
        <f>MAX(AE50:AE53)-MIN(AE50:AE53)+1</f>
        <v>1</v>
      </c>
      <c r="AF54" s="55">
        <f>MAX(AF50:AF53)-MIN(AF50:AF53)+1</f>
        <v>1</v>
      </c>
      <c r="AG54" s="55">
        <f>MAX(AG50:AG53)-MIN(AG50:AG53)+1</f>
        <v>1</v>
      </c>
      <c r="AH54" s="55">
        <f>MAX(AH50:AH53)-AH55+1</f>
        <v>1</v>
      </c>
      <c r="AI54" s="55">
        <f>MAX(AI50:AI53)-AI55+1</f>
        <v>1</v>
      </c>
      <c r="AK54" s="55">
        <f>MAX(AK50:AK53)-MIN(AK50:AK53)+1</f>
        <v>1</v>
      </c>
      <c r="AL54" s="55">
        <f>MAX(AL50:AL53)-MIN(AL50:AL53)+1</f>
        <v>1</v>
      </c>
      <c r="AP54" s="55">
        <f>MAX(AP50:AP53)-MIN(AP50:AP53)+1</f>
        <v>1</v>
      </c>
      <c r="AQ54" s="55">
        <f>MAX(AQ50:AQ53)-MIN(AQ50:AQ53)+1</f>
        <v>1</v>
      </c>
      <c r="AR54" s="55">
        <f>MAX(AR50:AR53)-MIN(AR50:AR53)+1</f>
        <v>1</v>
      </c>
      <c r="AS54" s="55">
        <f>MAX(AS50:AS53)-MIN(AS50:AS53)+1</f>
        <v>1</v>
      </c>
      <c r="AT54" s="55">
        <f>MAX(AT50:AT53)-MIN(AT50:AT53)+1</f>
        <v>1</v>
      </c>
    </row>
    <row r="55" spans="1:54" x14ac:dyDescent="0.25">
      <c r="A55" s="65"/>
      <c r="B55" s="72"/>
      <c r="C55" s="65"/>
      <c r="D55" s="71"/>
      <c r="E55" s="70"/>
      <c r="F55" s="69"/>
      <c r="G55" s="69"/>
      <c r="H55" s="68"/>
      <c r="I55" s="67"/>
      <c r="J55" s="66"/>
      <c r="K55" s="65"/>
      <c r="L55" s="65"/>
      <c r="M55" s="65"/>
      <c r="N55" s="65"/>
      <c r="O55" s="65"/>
      <c r="P55" s="65"/>
      <c r="AH55" s="55">
        <f>MIN(AH50:AH53)</f>
        <v>0</v>
      </c>
      <c r="AI55" s="55">
        <f>MIN(AI50:AI53)</f>
        <v>0</v>
      </c>
    </row>
    <row r="56" spans="1:54" ht="12.75" customHeight="1" x14ac:dyDescent="0.25"/>
    <row r="57" spans="1:54" ht="12.75" customHeight="1" x14ac:dyDescent="0.25"/>
    <row r="58" spans="1:54" x14ac:dyDescent="0.25">
      <c r="R58" s="55">
        <f>DATE(2018,6,30)+TIME(7,0,0)+gmt_delta</f>
        <v>43281.75</v>
      </c>
      <c r="S58" s="56" t="str">
        <f>IF(OR(BA10="",BA11=""),"",IF(BA10&gt;BA11,AZ10,IF(BA10&lt;BA11,AZ11,IF(OR(BB10="",BB11=""),"draw",IF(BB10&gt;BB11,AZ10,IF(BB10&lt;BB11,AZ11,"draw"))))))</f>
        <v/>
      </c>
      <c r="T58" s="56" t="str">
        <f>IF(OR(S58="",S58="draw"),INDEX(T,86,lang),S58)</f>
        <v>W49</v>
      </c>
    </row>
    <row r="59" spans="1:54" ht="12.75" customHeight="1" x14ac:dyDescent="0.25">
      <c r="R59" s="55">
        <f>DATE(2018,6,30)+TIME(3,0,0)+gmt_delta</f>
        <v>43281.583333333336</v>
      </c>
      <c r="S59" s="56" t="str">
        <f>IF(OR(BA14="",BA15=""),"",IF(BA14&gt;BA15,AZ14,IF(BA14&lt;BA15,AZ15,IF(OR(BB14="",BB15=""),"draw",IF(BB14&gt;BB15,AZ14,IF(BB14&lt;BB15,AZ15,"draw"))))))</f>
        <v/>
      </c>
      <c r="T59" s="56" t="str">
        <f>IF(OR(S59="",S59="draw"),INDEX(T,87,lang),S59)</f>
        <v>W50</v>
      </c>
    </row>
    <row r="60" spans="1:54" ht="12.75" customHeight="1" x14ac:dyDescent="0.25">
      <c r="R60" s="55">
        <f>DATE(2018,7,1)+TIME(3,0,0)+gmt_delta</f>
        <v>43282.583333333336</v>
      </c>
      <c r="S60" s="56" t="str">
        <f>IF(OR(BA26="",BA27=""),"",IF(BA26&gt;BA27,AZ26,IF(BA26&lt;BA27,AZ27,IF(OR(BB26="",BB27=""),"draw",IF(BB26&gt;BB27,AZ26,IF(BB26&lt;BB27,AZ27,"draw"))))))</f>
        <v/>
      </c>
      <c r="T60" s="56" t="str">
        <f>IF(OR(S60="",S60="draw"),INDEX(T,88,lang),S60)</f>
        <v>W51</v>
      </c>
    </row>
    <row r="61" spans="1:54" ht="12.75" customHeight="1" x14ac:dyDescent="0.25">
      <c r="R61" s="55">
        <f>DATE(2018,7,1)+TIME(7,0,0)+gmt_delta</f>
        <v>43282.75</v>
      </c>
      <c r="S61" s="56" t="str">
        <f>IF(OR(BA30="",BA31=""),"",IF(BA30&gt;BA31,AZ30,IF(BA30&lt;BA31,AZ31,IF(OR(BB30="",BB31=""),"draw",IF(BB30&gt;BB31,AZ30,IF(BB30&lt;BB31,AZ31,"draw"))))))</f>
        <v/>
      </c>
      <c r="T61" s="56" t="str">
        <f>IF(OR(S61="",S61="draw"),INDEX(T,89,lang),S61)</f>
        <v>W52</v>
      </c>
    </row>
    <row r="62" spans="1:54" ht="12.75" customHeight="1" x14ac:dyDescent="0.25">
      <c r="R62" s="55">
        <f>DATE(2018,7,2)+TIME(3,0,0)+gmt_delta</f>
        <v>43283.583333333336</v>
      </c>
      <c r="S62" s="56" t="str">
        <f>IF(OR(BA18="",BA19=""),"",IF(BA18&gt;BA19,AZ18,IF(BA18&lt;BA19,AZ19,IF(OR(BB18="",BB19=""),"draw",IF(BB18&gt;BB19,AZ18,IF(BB18&lt;BB19,AZ19,"draw"))))))</f>
        <v/>
      </c>
      <c r="T62" s="56" t="str">
        <f>IF(OR(S62="",S62="draw"),INDEX(T,90,lang),S62)</f>
        <v>W53</v>
      </c>
    </row>
    <row r="63" spans="1:54" ht="12.75" customHeight="1" x14ac:dyDescent="0.25">
      <c r="R63" s="55">
        <f>DATE(2018,7,2)+TIME(7,0,0)+gmt_delta</f>
        <v>43283.75</v>
      </c>
      <c r="S63" s="56" t="str">
        <f>IF(OR(BA22="",BA23=""),"",IF(BA22&gt;BA23,AZ22,IF(BA22&lt;BA23,AZ23,IF(OR(BB22="",BB23=""),"draw",IF(BB22&gt;BB23,AZ22,IF(BB22&lt;BB23,AZ23,"draw"))))))</f>
        <v/>
      </c>
      <c r="T63" s="56" t="str">
        <f>IF(OR(S63="",S63="draw"),INDEX(T,91,lang),S63)</f>
        <v>W54</v>
      </c>
    </row>
    <row r="64" spans="1:54" ht="12.75" customHeight="1" x14ac:dyDescent="0.25">
      <c r="R64" s="55">
        <f>DATE(2018,7,3)+TIME(3,0,0)+gmt_delta</f>
        <v>43284.583333333336</v>
      </c>
      <c r="S64" s="56" t="str">
        <f>IF(OR(BA34="",BA35=""),"",IF(BA34&gt;BA35,AZ34,IF(BA34&lt;BA35,AZ35,IF(OR(BB34="",BB35=""),"draw",IF(BB34&gt;BB35,AZ34,IF(BB34&lt;BB35,AZ35,"draw"))))))</f>
        <v/>
      </c>
      <c r="T64" s="56" t="str">
        <f>IF(OR(S64="",S64="draw"),INDEX(T,92,lang),S64)</f>
        <v>W55</v>
      </c>
    </row>
    <row r="65" spans="18:26" ht="12.75" customHeight="1" x14ac:dyDescent="0.25">
      <c r="R65" s="55">
        <f>DATE(2018,7,3)+TIME(7,0,0)+gmt_delta</f>
        <v>43284.75</v>
      </c>
      <c r="S65" s="56" t="str">
        <f>IF(OR(BA38="",BA39=""),"",IF(BA38&gt;BA39,AZ38,IF(BA38&lt;BA39,AZ39,IF(OR(BB38="",BB39=""),"draw",IF(BB38&gt;BB39,AZ38,IF(BB38&lt;BB39,AZ39,"draw"))))))</f>
        <v/>
      </c>
      <c r="T65" s="56" t="str">
        <f>IF(OR(S65="",S65="draw"),INDEX(T,93,lang),S65)</f>
        <v>W56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55">
        <f>DATE(2018,7,6)+TIME(3,0,0)+gmt_delta</f>
        <v>43287.583333333336</v>
      </c>
      <c r="S69" s="56" t="str">
        <f>IF(OR(BG12="",BG13=""),"",IF(BG12&gt;BG13,BF12,IF(BG12&lt;BG13,BF13,IF(OR(BH12="",BH13=""),"draw",IF(BH12&gt;BH13,BF12,IF(BH12&lt;BH13,BF13,"draw"))))))</f>
        <v/>
      </c>
      <c r="T69" s="56" t="str">
        <f>IF(OR(S69="",S69="draw"),INDEX(T,94,lang),S69)</f>
        <v>W57</v>
      </c>
    </row>
    <row r="70" spans="18:26" ht="12.75" customHeight="1" x14ac:dyDescent="0.25">
      <c r="R70" s="55">
        <f>DATE(2018,7,6)+TIME(7,0,0)+gmt_delta</f>
        <v>43287.75</v>
      </c>
      <c r="S70" s="56" t="str">
        <f>IF(OR(BG20="",BG21=""),"",IF(BG20&gt;BG21,BF20,IF(BG20&lt;BG21,BF21,IF(OR(BH20="",BH21=""),"draw",IF(BH20&gt;BH21,BF20,IF(BH20&lt;BH21,BF21,"draw"))))))</f>
        <v/>
      </c>
      <c r="T70" s="56" t="str">
        <f>IF(OR(S70="",S70="draw"),INDEX(T,95,lang),S70)</f>
        <v>W58</v>
      </c>
    </row>
    <row r="71" spans="18:26" ht="12.75" customHeight="1" x14ac:dyDescent="0.25">
      <c r="R71" s="55">
        <f>DATE(2018,7,7)+TIME(3,0,0)+gmt_delta</f>
        <v>43288.583333333336</v>
      </c>
      <c r="S71" s="56" t="str">
        <f>IF(OR(BG28="",BG29=""),"",IF(BG28&gt;BG29,BF28,IF(BG28&lt;BG29,BF29,IF(OR(BH28="",BH29=""),"draw",IF(BH28&gt;BH29,BF28,IF(BH28&lt;BH29,BF29,"draw"))))))</f>
        <v/>
      </c>
      <c r="T71" s="56" t="str">
        <f>IF(OR(S71="",S71="draw"),INDEX(T,96,lang),S71)</f>
        <v>W59</v>
      </c>
    </row>
    <row r="72" spans="18:26" ht="12.75" customHeight="1" x14ac:dyDescent="0.25">
      <c r="R72" s="55">
        <f>DATE(2018,7,7)+TIME(7,0,0)+gmt_delta</f>
        <v>43288.75</v>
      </c>
      <c r="S72" s="56" t="str">
        <f>IF(OR(BG36="",BG37=""),"",IF(BG36&gt;BG37,BF36,IF(BG36&lt;BG37,BF37,IF(OR(BH36="",BH37=""),"draw",IF(BH36&gt;BH37,BF36,IF(BH36&lt;BH37,BF37,"draw"))))))</f>
        <v/>
      </c>
      <c r="T72" s="56" t="str">
        <f>IF(OR(S72="",S72="draw"),INDEX(T,97,lang),S72)</f>
        <v>W60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55">
        <f>DATE(2018,7,10)+TIME(7,0,0)+gmt_delta</f>
        <v>43291.75</v>
      </c>
      <c r="S76" s="56" t="str">
        <f>IF(OR(BM16="",BM17=""),"",IF(BM16&gt;BM17,BL16,IF(BM16&lt;BM17,BL17,IF(OR(BN16="",BN17=""),"draw",IF(BN16&gt;BN17,BL16,IF(BN16&lt;BN17,BL17,"draw"))))))</f>
        <v/>
      </c>
      <c r="T76" s="56" t="str">
        <f>IF(OR(S76="",S76="draw"),INDEX(T,98,lang),S76)</f>
        <v>W61</v>
      </c>
      <c r="U76" s="56" t="str">
        <f>IF(OR(BM16="",BM17=""),"",IF(BM16&lt;BM17,BL16,IF(BM16&gt;BM17,BL17,IF(OR(BN16="",BN17=""),"draw",IF(BN16&lt;BN17,BL16,IF(BN16&gt;BN17,BL17,"draw"))))))</f>
        <v/>
      </c>
      <c r="Z76" s="56" t="str">
        <f>IF(OR(U76="",U76="draw"),INDEX(T,100,lang),U76)</f>
        <v>L61</v>
      </c>
    </row>
    <row r="77" spans="18:26" ht="12.75" customHeight="1" x14ac:dyDescent="0.25">
      <c r="R77" s="55">
        <f>DATE(2018,7,11)+TIME(7,0,0)+gmt_delta</f>
        <v>43292.75</v>
      </c>
      <c r="S77" s="56" t="str">
        <f>IF(OR(BM32="",BM33=""),"",IF(BM32&gt;BM33,BL32,IF(BM32&lt;BM33,BL33,IF(OR(BN32="",BN33=""),"draw",IF(BN32&gt;BN33,BL32,IF(BN32&lt;BN33,BL33,"draw"))))))</f>
        <v/>
      </c>
      <c r="T77" s="56" t="str">
        <f>IF(OR(S77="",S77="draw"),INDEX(T,99,lang),S77)</f>
        <v>W62</v>
      </c>
      <c r="U77" s="56" t="str">
        <f>IF(OR(BM32="",BM33=""),"",IF(BM32&lt;BM33,BL32,IF(BM32&gt;BM33,BL33,IF(OR(BN32="",BN33=""),"draw",IF(BN32&lt;BN33,BL32,IF(BN32&gt;BN33,BL33,"draw"))))))</f>
        <v/>
      </c>
      <c r="Z77" s="56" t="str">
        <f>IF(OR(U77="",U77="draw"),INDEX(T,101,lang),U77)</f>
        <v>L62</v>
      </c>
    </row>
    <row r="79" spans="18:26" ht="12.75" customHeight="1" x14ac:dyDescent="0.25"/>
    <row r="80" spans="18:26" ht="12.75" customHeight="1" x14ac:dyDescent="0.25"/>
    <row r="81" spans="18:20" x14ac:dyDescent="0.25">
      <c r="R81" s="55">
        <f>DATE(2018,7,14)+TIME(3,0,0)+gmt_delta</f>
        <v>43295.583333333336</v>
      </c>
      <c r="T81" s="56" t="str">
        <f>IF(OR(BS35="",BS36=""),"",IF(BS35&gt;BS36,BR35,IF(BS35&lt;BS36,BR36,IF(OR(BT35="",BT36=""),"",IF(BT35&gt;BT36,BR35,IF(BT35&lt;BT36,BR36,""))))))</f>
        <v/>
      </c>
    </row>
    <row r="83" spans="18:20" ht="12.75" customHeight="1" x14ac:dyDescent="0.25"/>
    <row r="84" spans="18:20" ht="12.75" customHeight="1" x14ac:dyDescent="0.25"/>
    <row r="85" spans="18:20" x14ac:dyDescent="0.25">
      <c r="R85" s="55">
        <f>DATE(2018,7,15)+TIME(4,0,0)+gmt_delta</f>
        <v>43296.625</v>
      </c>
      <c r="S85" s="56" t="str">
        <f>IF(OR(BS23="",BS24=""),"",IF(BS23&gt;BS24,BR23,IF(BS23&lt;BS24,BR24,IF(OR(BT23="",BT24=""),"",IF(BT23&gt;BT24,BR23,IF(BT23&lt;BT24,BR24,""))))))</f>
        <v/>
      </c>
      <c r="T85" s="56" t="str">
        <f>S85</f>
        <v/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PAglMCMPk026QNImqs5vht8iXkHMK+l+My+2rfGLtRZkio8JaaxdUcv1sFv6JUjNu8x8GCTRGfRxZo4OzEC8MA==" saltValue="oAWGgK7w1lThPFYybvkV5g==" spinCount="100000" sheet="1" objects="1" scenarios="1"/>
  <mergeCells count="28">
    <mergeCell ref="AY22:AY23"/>
    <mergeCell ref="BQ23:BQ24"/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5" stopIfTrue="1">
      <formula>IF(AND($F7&gt;$G7,ISNUMBER($F7),ISNUMBER($G7)),1,0)</formula>
    </cfRule>
  </conditionalFormatting>
  <conditionalFormatting sqref="G7:G55">
    <cfRule type="expression" dxfId="98" priority="16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7" stopIfTrue="1">
      <formula>IF(SUM($K9:$K12)=12,1,0)</formula>
    </cfRule>
  </conditionalFormatting>
  <conditionalFormatting sqref="J16:P16 J10:P10 J46:P46 J22:P22 J28:P28 J34:P34 J40:P40 J52:P52">
    <cfRule type="expression" dxfId="96" priority="18" stopIfTrue="1">
      <formula>IF(SUM($K9:$K12)=12,1,0)</formula>
    </cfRule>
  </conditionalFormatting>
  <conditionalFormatting sqref="J18:P18 J12:P12 J48:P48 J24:P24 J30:P30 J36:P36 J42:P42 J54:P55">
    <cfRule type="expression" dxfId="95" priority="19" stopIfTrue="1">
      <formula>IF(SUM($K9:$K12)=12,1,0)</formula>
    </cfRule>
  </conditionalFormatting>
  <conditionalFormatting sqref="J11:P11 J17:P17 J23:P23 J29:P29 J35:P35 J41:P41 J47:P47 J53:P53">
    <cfRule type="expression" dxfId="94" priority="20" stopIfTrue="1">
      <formula>IF(SUM($K9:$K12)=12,1,0)</formula>
    </cfRule>
  </conditionalFormatting>
  <conditionalFormatting sqref="BA10 BA14 BA34 BA38 BA26 BA30 BA18 BA22">
    <cfRule type="expression" dxfId="93" priority="21" stopIfTrue="1">
      <formula>IF(AND($BA10&gt;$BA11,ISNUMBER($BA10),ISNUMBER($BA11)),1,0)</formula>
    </cfRule>
  </conditionalFormatting>
  <conditionalFormatting sqref="BA11 BA15 BA35 BA39 BA27 BA31 BA19 BA23">
    <cfRule type="expression" dxfId="92" priority="22" stopIfTrue="1">
      <formula>IF(AND($BA10&lt;$BA11,ISNUMBER($BA10),ISNUMBER($BA11)),1,0)</formula>
    </cfRule>
  </conditionalFormatting>
  <conditionalFormatting sqref="BB10 BB14 BB34 BB38 BB26 BB30 BB18 BB22">
    <cfRule type="expression" dxfId="91" priority="23" stopIfTrue="1">
      <formula>IF(AND($BB10&gt;$BB11,ISNUMBER($BB10),ISNUMBER($BB11)),1,0)</formula>
    </cfRule>
  </conditionalFormatting>
  <conditionalFormatting sqref="BB11 BB15 BB35 BB39 BB27 BB31 BB19 BB23">
    <cfRule type="expression" dxfId="90" priority="24" stopIfTrue="1">
      <formula>IF(AND($BB10&lt;$BB11,ISNUMBER($BB10),ISNUMBER($BB11)),1,0)</formula>
    </cfRule>
  </conditionalFormatting>
  <conditionalFormatting sqref="BG12 BG20 BG28 BG36">
    <cfRule type="expression" dxfId="89" priority="25" stopIfTrue="1">
      <formula>IF(AND($BG12&gt;$BG13,ISNUMBER($BG12),ISNUMBER($BG13)),1,0)</formula>
    </cfRule>
  </conditionalFormatting>
  <conditionalFormatting sqref="BG13 BG21 BG29 BG37">
    <cfRule type="expression" dxfId="88" priority="26" stopIfTrue="1">
      <formula>IF(AND($BG12&lt;$BG13,ISNUMBER($BG12),ISNUMBER($BG13)),1,0)</formula>
    </cfRule>
  </conditionalFormatting>
  <conditionalFormatting sqref="BH12 BH20 BH28 BH36">
    <cfRule type="expression" dxfId="87" priority="27" stopIfTrue="1">
      <formula>IF(AND($BH12&gt;$BH13,ISNUMBER($BH12),ISNUMBER($BH13)),1,0)</formula>
    </cfRule>
  </conditionalFormatting>
  <conditionalFormatting sqref="BH13 BH21 BH29 BH37">
    <cfRule type="expression" dxfId="86" priority="28" stopIfTrue="1">
      <formula>IF(AND($BH12&lt;$BH13,ISNUMBER($BH12),ISNUMBER($BH13)),1,0)</formula>
    </cfRule>
  </conditionalFormatting>
  <conditionalFormatting sqref="BM16 BM32">
    <cfRule type="expression" dxfId="85" priority="29" stopIfTrue="1">
      <formula>IF(AND($BM16&gt;$BM17,ISNUMBER($BM16),ISNUMBER($BM17)),1,0)</formula>
    </cfRule>
  </conditionalFormatting>
  <conditionalFormatting sqref="BM17 BM33">
    <cfRule type="expression" dxfId="84" priority="30" stopIfTrue="1">
      <formula>IF(AND($BM16&lt;$BM17,ISNUMBER($BM16),ISNUMBER($BM17)),1,0)</formula>
    </cfRule>
  </conditionalFormatting>
  <conditionalFormatting sqref="BN16 BN32">
    <cfRule type="expression" dxfId="83" priority="31" stopIfTrue="1">
      <formula>IF(AND($BN16&gt;$BN17,ISNUMBER($BN16),ISNUMBER($BN17)),1,0)</formula>
    </cfRule>
  </conditionalFormatting>
  <conditionalFormatting sqref="BN17 BN33">
    <cfRule type="expression" dxfId="82" priority="32" stopIfTrue="1">
      <formula>IF(AND($BN16&lt;$BN17,ISNUMBER($BN16),ISNUMBER($BN17)),1,0)</formula>
    </cfRule>
  </conditionalFormatting>
  <conditionalFormatting sqref="BS23 BS35">
    <cfRule type="expression" dxfId="81" priority="33" stopIfTrue="1">
      <formula>IF(AND($BS23&gt;$BS24,ISNUMBER($BS23),ISNUMBER($BS24)),1,0)</formula>
    </cfRule>
  </conditionalFormatting>
  <conditionalFormatting sqref="BS24 BS36">
    <cfRule type="expression" dxfId="80" priority="34" stopIfTrue="1">
      <formula>IF(AND($BS23&lt;$BS24,ISNUMBER($BS23),ISNUMBER($BS24)),1,0)</formula>
    </cfRule>
  </conditionalFormatting>
  <conditionalFormatting sqref="BT23 BT35">
    <cfRule type="expression" dxfId="79" priority="35" stopIfTrue="1">
      <formula>IF(AND($BT23&gt;$BT24,ISNUMBER($BT23),ISNUMBER($BT24)),1,0)</formula>
    </cfRule>
  </conditionalFormatting>
  <conditionalFormatting sqref="BT24 BT36">
    <cfRule type="expression" dxfId="78" priority="36" stopIfTrue="1">
      <formula>IF(AND($BT23&lt;$BT24,ISNUMBER($BT23),ISNUMBER($BT24)),1,0)</formula>
    </cfRule>
  </conditionalFormatting>
  <conditionalFormatting sqref="AZ10">
    <cfRule type="expression" dxfId="77" priority="37" stopIfTrue="1">
      <formula>IF($AZ10=$T58,1,0)</formula>
    </cfRule>
    <cfRule type="expression" dxfId="76" priority="38" stopIfTrue="1">
      <formula>IF($AZ11=$T58,1,0)</formula>
    </cfRule>
  </conditionalFormatting>
  <conditionalFormatting sqref="AZ11">
    <cfRule type="expression" dxfId="75" priority="39" stopIfTrue="1">
      <formula>IF($AZ11=$T58,1,0)</formula>
    </cfRule>
    <cfRule type="expression" dxfId="74" priority="40" stopIfTrue="1">
      <formula>IF($AZ10=$T58,1,0)</formula>
    </cfRule>
  </conditionalFormatting>
  <conditionalFormatting sqref="AZ14">
    <cfRule type="expression" dxfId="73" priority="41" stopIfTrue="1">
      <formula>IF($AZ14=$T59,1,0)</formula>
    </cfRule>
    <cfRule type="expression" dxfId="72" priority="42" stopIfTrue="1">
      <formula>IF($AZ15=$T59,1,0)</formula>
    </cfRule>
  </conditionalFormatting>
  <conditionalFormatting sqref="AZ15">
    <cfRule type="expression" dxfId="71" priority="43" stopIfTrue="1">
      <formula>IF($AZ15=$T59,1,0)</formula>
    </cfRule>
    <cfRule type="expression" dxfId="70" priority="44" stopIfTrue="1">
      <formula>IF($AZ14=$T59,1,0)</formula>
    </cfRule>
  </conditionalFormatting>
  <conditionalFormatting sqref="AZ34">
    <cfRule type="expression" dxfId="69" priority="45" stopIfTrue="1">
      <formula>IF($AZ34=$T64,1,0)</formula>
    </cfRule>
    <cfRule type="expression" dxfId="68" priority="46" stopIfTrue="1">
      <formula>IF($AZ35=$T64,1,0)</formula>
    </cfRule>
  </conditionalFormatting>
  <conditionalFormatting sqref="AZ35">
    <cfRule type="expression" dxfId="67" priority="47" stopIfTrue="1">
      <formula>IF($AZ35=$T64,1,0)</formula>
    </cfRule>
    <cfRule type="expression" dxfId="66" priority="48" stopIfTrue="1">
      <formula>IF($AZ34=$T64,1,0)</formula>
    </cfRule>
  </conditionalFormatting>
  <conditionalFormatting sqref="AZ38">
    <cfRule type="expression" dxfId="65" priority="49" stopIfTrue="1">
      <formula>IF($AZ38=$T65,1,0)</formula>
    </cfRule>
    <cfRule type="expression" dxfId="64" priority="50" stopIfTrue="1">
      <formula>IF($AZ39=$T65,1,0)</formula>
    </cfRule>
  </conditionalFormatting>
  <conditionalFormatting sqref="AZ39">
    <cfRule type="expression" dxfId="63" priority="51" stopIfTrue="1">
      <formula>IF($AZ39=$T65,1,0)</formula>
    </cfRule>
    <cfRule type="expression" dxfId="62" priority="52" stopIfTrue="1">
      <formula>IF($AZ38=$T65,1,0)</formula>
    </cfRule>
  </conditionalFormatting>
  <conditionalFormatting sqref="AZ26">
    <cfRule type="expression" dxfId="61" priority="53" stopIfTrue="1">
      <formula>IF($AZ26=$T60,1,0)</formula>
    </cfRule>
    <cfRule type="expression" dxfId="60" priority="54" stopIfTrue="1">
      <formula>IF($AZ27=$T60,1,0)</formula>
    </cfRule>
  </conditionalFormatting>
  <conditionalFormatting sqref="AZ27">
    <cfRule type="expression" dxfId="59" priority="55" stopIfTrue="1">
      <formula>IF($AZ27=$T60,1,0)</formula>
    </cfRule>
    <cfRule type="expression" dxfId="58" priority="56" stopIfTrue="1">
      <formula>IF($AZ26=$T60,1,0)</formula>
    </cfRule>
  </conditionalFormatting>
  <conditionalFormatting sqref="AZ30">
    <cfRule type="expression" dxfId="57" priority="57" stopIfTrue="1">
      <formula>IF($AZ30=$T61,1,0)</formula>
    </cfRule>
    <cfRule type="expression" dxfId="56" priority="58" stopIfTrue="1">
      <formula>IF($AZ31=$T61,1,0)</formula>
    </cfRule>
  </conditionalFormatting>
  <conditionalFormatting sqref="AZ31">
    <cfRule type="expression" dxfId="55" priority="59" stopIfTrue="1">
      <formula>IF($AZ31=$T61,1,0)</formula>
    </cfRule>
    <cfRule type="expression" dxfId="54" priority="60" stopIfTrue="1">
      <formula>IF($AZ30=$T61,1,0)</formula>
    </cfRule>
  </conditionalFormatting>
  <conditionalFormatting sqref="AZ18">
    <cfRule type="expression" dxfId="53" priority="61" stopIfTrue="1">
      <formula>IF($AZ18=$T62,1,0)</formula>
    </cfRule>
    <cfRule type="expression" dxfId="52" priority="62" stopIfTrue="1">
      <formula>IF($AZ19=$T62,1,0)</formula>
    </cfRule>
  </conditionalFormatting>
  <conditionalFormatting sqref="AZ19">
    <cfRule type="expression" dxfId="51" priority="63" stopIfTrue="1">
      <formula>IF($AZ19=$T62,1,0)</formula>
    </cfRule>
    <cfRule type="expression" dxfId="50" priority="64" stopIfTrue="1">
      <formula>IF($AZ18=$T62,1,0)</formula>
    </cfRule>
  </conditionalFormatting>
  <conditionalFormatting sqref="AZ22">
    <cfRule type="expression" dxfId="49" priority="65" stopIfTrue="1">
      <formula>IF($AZ22=$T63,1,0)</formula>
    </cfRule>
    <cfRule type="expression" dxfId="48" priority="66" stopIfTrue="1">
      <formula>IF($AZ23=$T63,1,0)</formula>
    </cfRule>
  </conditionalFormatting>
  <conditionalFormatting sqref="AZ23">
    <cfRule type="expression" dxfId="47" priority="67" stopIfTrue="1">
      <formula>IF($AZ23=$T63,1,0)</formula>
    </cfRule>
    <cfRule type="expression" dxfId="46" priority="68" stopIfTrue="1">
      <formula>IF($AZ22=$T63,1,0)</formula>
    </cfRule>
  </conditionalFormatting>
  <conditionalFormatting sqref="BF12">
    <cfRule type="expression" dxfId="45" priority="69" stopIfTrue="1">
      <formula>IF($BF12=$T69,1,0)</formula>
    </cfRule>
    <cfRule type="expression" dxfId="44" priority="70" stopIfTrue="1">
      <formula>IF($BF13=$T69,1,0)</formula>
    </cfRule>
  </conditionalFormatting>
  <conditionalFormatting sqref="BF13">
    <cfRule type="expression" dxfId="43" priority="71" stopIfTrue="1">
      <formula>IF($BF13=$T69,1,0)</formula>
    </cfRule>
    <cfRule type="expression" dxfId="42" priority="72" stopIfTrue="1">
      <formula>IF($BF12=$T69,1,0)</formula>
    </cfRule>
  </conditionalFormatting>
  <conditionalFormatting sqref="BF20">
    <cfRule type="expression" dxfId="41" priority="73" stopIfTrue="1">
      <formula>IF($BF20=$T70,1,0)</formula>
    </cfRule>
    <cfRule type="expression" dxfId="40" priority="74" stopIfTrue="1">
      <formula>IF($BF21=$T70,1,0)</formula>
    </cfRule>
  </conditionalFormatting>
  <conditionalFormatting sqref="BF21">
    <cfRule type="expression" dxfId="39" priority="75" stopIfTrue="1">
      <formula>IF($BF21=$T70,1,0)</formula>
    </cfRule>
    <cfRule type="expression" dxfId="38" priority="76" stopIfTrue="1">
      <formula>IF($BF20=$T70,1,0)</formula>
    </cfRule>
  </conditionalFormatting>
  <conditionalFormatting sqref="BF28">
    <cfRule type="expression" dxfId="37" priority="77" stopIfTrue="1">
      <formula>IF($BF28=$T71,1,0)</formula>
    </cfRule>
    <cfRule type="expression" dxfId="36" priority="78" stopIfTrue="1">
      <formula>IF($BF29=$T71,1,0)</formula>
    </cfRule>
  </conditionalFormatting>
  <conditionalFormatting sqref="BF29">
    <cfRule type="expression" dxfId="35" priority="79" stopIfTrue="1">
      <formula>IF($BF29=$T71,1,0)</formula>
    </cfRule>
    <cfRule type="expression" dxfId="34" priority="80" stopIfTrue="1">
      <formula>IF($BF28=$T71,1,0)</formula>
    </cfRule>
  </conditionalFormatting>
  <conditionalFormatting sqref="BF36">
    <cfRule type="expression" dxfId="33" priority="81" stopIfTrue="1">
      <formula>IF($BF36=$T72,1,0)</formula>
    </cfRule>
    <cfRule type="expression" dxfId="32" priority="82" stopIfTrue="1">
      <formula>IF($BF37=$T72,1,0)</formula>
    </cfRule>
  </conditionalFormatting>
  <conditionalFormatting sqref="BF37">
    <cfRule type="expression" dxfId="31" priority="83" stopIfTrue="1">
      <formula>IF($BF37=$T72,1,0)</formula>
    </cfRule>
    <cfRule type="expression" dxfId="30" priority="84" stopIfTrue="1">
      <formula>IF($BF36=$T72,1,0)</formula>
    </cfRule>
  </conditionalFormatting>
  <conditionalFormatting sqref="BL16">
    <cfRule type="expression" dxfId="29" priority="85" stopIfTrue="1">
      <formula>IF($BL16=$T76,1,0)</formula>
    </cfRule>
    <cfRule type="expression" dxfId="28" priority="86" stopIfTrue="1">
      <formula>IF($BL17=$T76,1,0)</formula>
    </cfRule>
  </conditionalFormatting>
  <conditionalFormatting sqref="BL17">
    <cfRule type="expression" dxfId="27" priority="87" stopIfTrue="1">
      <formula>IF($BL17=$T76,1,0)</formula>
    </cfRule>
    <cfRule type="expression" dxfId="26" priority="88" stopIfTrue="1">
      <formula>IF($BL16=$T76,1,0)</formula>
    </cfRule>
  </conditionalFormatting>
  <conditionalFormatting sqref="BL32">
    <cfRule type="expression" dxfId="25" priority="89" stopIfTrue="1">
      <formula>IF($BL32=$T77,1,0)</formula>
    </cfRule>
    <cfRule type="expression" dxfId="24" priority="90" stopIfTrue="1">
      <formula>IF($BL33=$T77,1,0)</formula>
    </cfRule>
  </conditionalFormatting>
  <conditionalFormatting sqref="BL33">
    <cfRule type="expression" dxfId="23" priority="91" stopIfTrue="1">
      <formula>IF($BL33=$T77,1,0)</formula>
    </cfRule>
    <cfRule type="expression" dxfId="22" priority="92" stopIfTrue="1">
      <formula>IF($BL32=$T77,1,0)</formula>
    </cfRule>
  </conditionalFormatting>
  <conditionalFormatting sqref="BR23">
    <cfRule type="expression" dxfId="21" priority="93" stopIfTrue="1">
      <formula>IF($BR23=$T85,1,0)</formula>
    </cfRule>
    <cfRule type="expression" dxfId="20" priority="94" stopIfTrue="1">
      <formula>IF($BR24=$T85,1,0)</formula>
    </cfRule>
  </conditionalFormatting>
  <conditionalFormatting sqref="BR24">
    <cfRule type="expression" dxfId="19" priority="95" stopIfTrue="1">
      <formula>IF($BR24=$T85,1,0)</formula>
    </cfRule>
    <cfRule type="expression" dxfId="18" priority="96" stopIfTrue="1">
      <formula>IF($BR23=$T85,1,0)</formula>
    </cfRule>
  </conditionalFormatting>
  <conditionalFormatting sqref="BR35">
    <cfRule type="expression" dxfId="17" priority="97" stopIfTrue="1">
      <formula>IF($BR35=$T81,1,0)</formula>
    </cfRule>
    <cfRule type="expression" dxfId="16" priority="98" stopIfTrue="1">
      <formula>IF($BR36=$T81,1,0)</formula>
    </cfRule>
  </conditionalFormatting>
  <conditionalFormatting sqref="BR36">
    <cfRule type="expression" dxfId="15" priority="99" stopIfTrue="1">
      <formula>IF($BR36=$T81,1,0)</formula>
    </cfRule>
    <cfRule type="expression" dxfId="14" priority="100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rowBreaks count="2" manualBreakCount="2">
    <brk id="6" max="16383" man="1"/>
    <brk id="36" max="71" man="1"/>
  </rowBreaks>
  <colBreaks count="2" manualBreakCount="2">
    <brk id="8" max="1048575" man="1"/>
    <brk id="64" min="4" max="53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Predictions Tab</vt:lpstr>
      <vt:lpstr>Progress Chart Tab</vt:lpstr>
      <vt:lpstr>'Predictions Tab'!Print_Area</vt:lpstr>
      <vt:lpstr>'Progress Chart Tab'!Print_Area</vt:lpstr>
    </vt:vector>
  </TitlesOfParts>
  <Company>Tradition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Mitchell</dc:creator>
  <cp:lastModifiedBy>Susan</cp:lastModifiedBy>
  <cp:lastPrinted>2018-04-11T14:54:37Z</cp:lastPrinted>
  <dcterms:created xsi:type="dcterms:W3CDTF">2016-05-31T14:45:54Z</dcterms:created>
  <dcterms:modified xsi:type="dcterms:W3CDTF">2018-05-10T15:15:19Z</dcterms:modified>
</cp:coreProperties>
</file>